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1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/comment2.xml" ContentType="application/vnd.openxmlformats-officedocument.spreadsheetml.comment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PY-Proof" sheetId="2" state="visible" r:id="rId2"/>
    <sheet xmlns:r="http://schemas.openxmlformats.org/officeDocument/2006/relationships" name="2YR-Compare" sheetId="3" state="visible" r:id="rId3"/>
    <sheet xmlns:r="http://schemas.openxmlformats.org/officeDocument/2006/relationships" name="Wages" sheetId="4" state="visible" r:id="rId4"/>
    <sheet xmlns:r="http://schemas.openxmlformats.org/officeDocument/2006/relationships" name="Interest-Div" sheetId="5" state="visible" r:id="rId5"/>
    <sheet xmlns:r="http://schemas.openxmlformats.org/officeDocument/2006/relationships" name="CapGains-4797" sheetId="6" state="visible" r:id="rId6"/>
    <sheet xmlns:r="http://schemas.openxmlformats.org/officeDocument/2006/relationships" name="Itemized-Std" sheetId="7" state="visible" r:id="rId7"/>
    <sheet xmlns:r="http://schemas.openxmlformats.org/officeDocument/2006/relationships" name="Tax-Cr" sheetId="8" state="visible" r:id="rId8"/>
    <sheet xmlns:r="http://schemas.openxmlformats.org/officeDocument/2006/relationships" name="Other-Taxes" sheetId="9" state="visible" r:id="rId9"/>
    <sheet xmlns:r="http://schemas.openxmlformats.org/officeDocument/2006/relationships" name="Payments-Est" sheetId="10" state="visible" r:id="rId10"/>
    <sheet xmlns:r="http://schemas.openxmlformats.org/officeDocument/2006/relationships" name="Carryforwards" sheetId="11" state="visible" r:id="rId11"/>
    <sheet xmlns:r="http://schemas.openxmlformats.org/officeDocument/2006/relationships" name="Open-Items" sheetId="12" state="visible" r:id="rId12"/>
    <sheet xmlns:r="http://schemas.openxmlformats.org/officeDocument/2006/relationships" name="Issues" sheetId="13" state="visible" r:id="rId13"/>
    <sheet xmlns:r="http://schemas.openxmlformats.org/officeDocument/2006/relationships" name="Client-Source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(#,##0);&quot;-&quot;"/>
    <numFmt numFmtId="165" formatCode="#,##0.00;(#,##0.00);&quot;-&quot;"/>
    <numFmt numFmtId="166" formatCode="0.0%;(0.0%);&quot;-&quot;"/>
  </numFmts>
  <fonts count="8">
    <font>
      <name val="Calibri"/>
      <family val="2"/>
      <color theme="1"/>
      <sz val="11"/>
      <scheme val="minor"/>
    </font>
    <font>
      <name val="Arial"/>
      <b val="1"/>
      <color rgb="00000000"/>
      <sz val="10"/>
    </font>
    <font>
      <name val="Arial"/>
      <b val="1"/>
      <sz val="12"/>
    </font>
    <font>
      <name val="Arial"/>
      <color rgb="00000000"/>
      <sz val="10"/>
    </font>
    <font>
      <name val="Arial"/>
      <b val="1"/>
      <sz val="10"/>
    </font>
    <font>
      <name val="Arial"/>
      <color rgb="000000FF"/>
      <sz val="10"/>
    </font>
    <font>
      <name val="Arial"/>
      <color rgb="00FF0000"/>
      <sz val="10"/>
    </font>
    <font>
      <name val="Arial"/>
      <color rgb="00008000"/>
      <sz val="10"/>
    </font>
  </fonts>
  <fills count="4">
    <fill>
      <patternFill/>
    </fill>
    <fill>
      <patternFill patternType="gray125"/>
    </fill>
    <fill>
      <patternFill patternType="solid">
        <fgColor rgb="00D9E1F2"/>
      </patternFill>
    </fill>
    <fill>
      <patternFill patternType="solid">
        <fgColor rgb="00FFFF00"/>
      </patternFill>
    </fill>
  </fills>
  <borders count="4">
    <border>
      <left/>
      <right/>
      <top/>
      <bottom/>
      <diagonal/>
    </border>
    <border>
      <top style="thin"/>
    </border>
    <border>
      <bottom style="double"/>
    </border>
    <border>
      <top style="thin"/>
      <bottom style="double"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5" fillId="0" borderId="0" pivotButton="0" quotePrefix="0" xfId="0"/>
    <xf numFmtId="0" fontId="5" fillId="3" borderId="0" pivotButton="0" quotePrefix="0" xfId="0"/>
    <xf numFmtId="0" fontId="4" fillId="2" borderId="0" applyAlignment="1" pivotButton="0" quotePrefix="0" xfId="0">
      <alignment vertical="top" wrapText="1"/>
    </xf>
    <xf numFmtId="0" fontId="6" fillId="0" borderId="0" pivotButton="0" quotePrefix="0" xfId="0"/>
    <xf numFmtId="164" fontId="5" fillId="0" borderId="0" pivotButton="0" quotePrefix="0" xfId="0"/>
    <xf numFmtId="164" fontId="7" fillId="0" borderId="0" pivotButton="0" quotePrefix="0" xfId="0"/>
    <xf numFmtId="0" fontId="7" fillId="0" borderId="0" pivotButton="0" quotePrefix="0" xfId="0"/>
    <xf numFmtId="0" fontId="3" fillId="3" borderId="0" pivotButton="0" quotePrefix="0" xfId="0"/>
    <xf numFmtId="164" fontId="5" fillId="0" borderId="1" pivotButton="0" quotePrefix="0" xfId="0"/>
    <xf numFmtId="164" fontId="3" fillId="0" borderId="0" pivotButton="0" quotePrefix="0" xfId="0"/>
    <xf numFmtId="164" fontId="5" fillId="0" borderId="2" pivotButton="0" quotePrefix="0" xfId="0"/>
    <xf numFmtId="164" fontId="6" fillId="0" borderId="0" pivotButton="0" quotePrefix="0" xfId="0"/>
    <xf numFmtId="166" fontId="3" fillId="0" borderId="0" pivotButton="0" quotePrefix="0" xfId="0"/>
    <xf numFmtId="164" fontId="7" fillId="0" borderId="2" pivotButton="0" quotePrefix="0" xfId="0"/>
    <xf numFmtId="165" fontId="5" fillId="0" borderId="0" pivotButton="0" quotePrefix="0" xfId="0"/>
    <xf numFmtId="165" fontId="3" fillId="0" borderId="0" pivotButton="0" quotePrefix="0" xfId="0"/>
    <xf numFmtId="164" fontId="3" fillId="0" borderId="2" pivotButton="0" quotePrefix="0" xfId="0"/>
    <xf numFmtId="165" fontId="5" fillId="3" borderId="0" pivotButton="0" quotePrefix="0" xfId="0"/>
    <xf numFmtId="165" fontId="7" fillId="0" borderId="0" pivotButton="0" quotePrefix="0" xfId="0"/>
    <xf numFmtId="164" fontId="3" fillId="0" borderId="1" pivotButton="0" quotePrefix="0" xfId="0"/>
    <xf numFmtId="164" fontId="5" fillId="3" borderId="0" pivotButton="0" quotePrefix="0" xfId="0"/>
    <xf numFmtId="164" fontId="3" fillId="0" borderId="3" pivotButton="0" quotePrefix="0" xfId="0"/>
    <xf numFmtId="0" fontId="3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comments/comment1.xml><?xml version="1.0" encoding="utf-8"?>
<comments xmlns="http://schemas.openxmlformats.org/spreadsheetml/2006/main">
  <authors>
    <author>Jane Sample, CPA</author>
  </authors>
  <commentList>
    <comment ref="D6" authorId="0" shapeId="0">
      <text>
        <t>PBC — Open Item 1. Client says account closed March 2025; Jan-Mar dividends expected.</t>
      </text>
    </comment>
  </commentList>
</comments>
</file>

<file path=xl/comments/comment2.xml><?xml version="1.0" encoding="utf-8"?>
<comments xmlns="http://schemas.openxmlformats.org/spreadsheetml/2006/main">
  <authors>
    <author>Jane Sample, CPA</author>
  </authors>
  <commentList>
    <comment ref="B5" authorId="0" shapeId="0">
      <text>
        <t>DOB not in file. Assumed under 65 / not blind; confirm via 2025 organizer (Open Item 2).</t>
      </text>
    </comment>
    <comment ref="B18" authorId="0" shapeId="0">
      <text>
        <t>0 assumed — taxpayer assumed under 65. Organizer (Open Item 2).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48" customWidth="1" min="2" max="2"/>
    <col width="14" customWidth="1" min="3" max="3"/>
    <col width="36" customWidth="1" min="4" max="4"/>
    <col width="12" customWidth="1" min="5" max="5"/>
    <col width="34" customWidth="1" min="6" max="6"/>
    <col width="14" customWidth="1" min="7" max="7"/>
    <col width="30" customWidth="1" min="8" max="8"/>
  </cols>
  <sheetData>
    <row r="1">
      <c r="A1" s="1" t="inlineStr">
        <is>
          <t>2025 Form 1040 Workpapers — Testman, Alex</t>
        </is>
      </c>
    </row>
    <row r="2">
      <c r="A2" s="2" t="inlineStr">
        <is>
          <t>Sample &amp; Co CPAs  |  Preparer: Jane Sample, CPA  |  Version 1 — initial build</t>
        </is>
      </c>
    </row>
    <row r="4">
      <c r="A4" s="3" t="inlineStr">
        <is>
          <t>Taxpayer</t>
        </is>
      </c>
      <c r="B4" s="4" t="inlineStr">
        <is>
          <t>Alex Testman</t>
        </is>
      </c>
    </row>
    <row r="5">
      <c r="A5" s="3" t="inlineStr">
        <is>
          <t>SSN</t>
        </is>
      </c>
      <c r="B5" s="4" t="inlineStr">
        <is>
          <t>XXX-XX-4321</t>
        </is>
      </c>
    </row>
    <row r="6">
      <c r="A6" s="3" t="inlineStr">
        <is>
          <t>Address</t>
        </is>
      </c>
      <c r="B6" s="4" t="inlineStr">
        <is>
          <t>123 Sample St, Jupiter FL 33458</t>
        </is>
      </c>
    </row>
    <row r="7">
      <c r="A7" s="3" t="inlineStr">
        <is>
          <t>Filing status</t>
        </is>
      </c>
      <c r="B7" s="4" t="inlineStr">
        <is>
          <t>Single (per 2024 return; no change indicated)</t>
        </is>
      </c>
    </row>
    <row r="8">
      <c r="A8" s="3" t="inlineStr">
        <is>
          <t>Occupation</t>
        </is>
      </c>
      <c r="B8" s="4" t="inlineStr">
        <is>
          <t>Employee — Sample Industries LLC (W-2)</t>
        </is>
      </c>
    </row>
    <row r="9">
      <c r="A9" s="3" t="inlineStr">
        <is>
          <t>DOB / age 65+</t>
        </is>
      </c>
      <c r="B9" s="5" t="inlineStr">
        <is>
          <t>Not in file — assumed under 65 (Open Item 2)</t>
        </is>
      </c>
    </row>
    <row r="10">
      <c r="A10" s="3" t="inlineStr">
        <is>
          <t>Digital assets / FBAR</t>
        </is>
      </c>
      <c r="B10" s="5" t="inlineStr">
        <is>
          <t>Not in file — PY answers not on page provided; confirm on organizer (Open Item 2)</t>
        </is>
      </c>
    </row>
    <row r="11">
      <c r="A11" s="3" t="inlineStr">
        <is>
          <t>Dependents</t>
        </is>
      </c>
      <c r="B11" s="4" t="inlineStr">
        <is>
          <t>None on 2024 return</t>
        </is>
      </c>
    </row>
    <row r="12">
      <c r="A12" s="3" t="inlineStr">
        <is>
          <t>PY preparer</t>
        </is>
      </c>
      <c r="B12" s="4" t="inlineStr">
        <is>
          <t>Prior Firm CPA PA, 1 Old Way, West Palm Beach FL (predecessor firm)</t>
        </is>
      </c>
    </row>
    <row r="13">
      <c r="A13" s="3" t="inlineStr">
        <is>
          <t>State</t>
        </is>
      </c>
      <c r="B13" s="4" t="inlineStr">
        <is>
          <t>Florida resident — no state income tax return</t>
        </is>
      </c>
    </row>
    <row r="15">
      <c r="A15" s="6" t="inlineStr">
        <is>
          <t>File</t>
        </is>
      </c>
      <c r="B15" s="6" t="inlineStr">
        <is>
          <t>Description</t>
        </is>
      </c>
      <c r="C15" s="6" t="inlineStr">
        <is>
          <t>Tax year</t>
        </is>
      </c>
      <c r="D15" s="6" t="inlineStr">
        <is>
          <t>Issuer / EIN</t>
        </is>
      </c>
      <c r="E15" s="6" t="inlineStr">
        <is>
          <t>Pages / layer</t>
        </is>
      </c>
      <c r="F15" s="6" t="inlineStr">
        <is>
          <t>md5</t>
        </is>
      </c>
      <c r="G15" s="6" t="inlineStr">
        <is>
          <t>Duplicate of</t>
        </is>
      </c>
      <c r="H15" s="6" t="inlineStr">
        <is>
          <t>Feeds</t>
        </is>
      </c>
    </row>
    <row r="16">
      <c r="A16" s="4" t="inlineStr">
        <is>
          <t>in/2024 Form 1040 - Testman, Alex.pdf</t>
        </is>
      </c>
      <c r="B16" s="4" t="inlineStr">
        <is>
          <t>2024 Form 1040 as filed</t>
        </is>
      </c>
      <c r="C16" s="4" t="inlineStr">
        <is>
          <t>2024</t>
        </is>
      </c>
      <c r="D16" s="4" t="inlineStr">
        <is>
          <t>Prior Firm CPA PA</t>
        </is>
      </c>
      <c r="E16" s="4" t="inlineStr">
        <is>
          <t>1 / text</t>
        </is>
      </c>
      <c r="F16" s="4" t="inlineStr">
        <is>
          <t>321d56795d4c648f0aacdcc13e6a5e48</t>
        </is>
      </c>
      <c r="G16" s="4" t="inlineStr">
        <is>
          <t>none — unique</t>
        </is>
      </c>
      <c r="H16" s="4" t="inlineStr">
        <is>
          <t>PY-Proof, Carryforwards</t>
        </is>
      </c>
    </row>
    <row r="17">
      <c r="A17" s="4" t="inlineStr">
        <is>
          <t>in/2025 W-2 - Sample Industries.pdf</t>
        </is>
      </c>
      <c r="B17" s="4" t="inlineStr">
        <is>
          <t>Form W-2</t>
        </is>
      </c>
      <c r="C17" s="4" t="inlineStr">
        <is>
          <t>2025</t>
        </is>
      </c>
      <c r="D17" s="4" t="inlineStr">
        <is>
          <t>Sample Industries LLC 59-1234567</t>
        </is>
      </c>
      <c r="E17" s="4" t="inlineStr">
        <is>
          <t>1 / text</t>
        </is>
      </c>
      <c r="F17" s="4" t="inlineStr">
        <is>
          <t>1ea7a16ea0c58d2ec7a4f9c41b311e46</t>
        </is>
      </c>
      <c r="G17" s="4" t="inlineStr">
        <is>
          <t>none — unique</t>
        </is>
      </c>
      <c r="H17" s="4" t="inlineStr">
        <is>
          <t>Wages; 1040 1a, 25a; 8959</t>
        </is>
      </c>
    </row>
    <row r="18">
      <c r="A18" s="4" t="inlineStr">
        <is>
          <t>in/2025 1099-INT - First Sample Bank.pdf</t>
        </is>
      </c>
      <c r="B18" s="4" t="inlineStr">
        <is>
          <t>Form 1099-INT</t>
        </is>
      </c>
      <c r="C18" s="4" t="inlineStr">
        <is>
          <t>2025</t>
        </is>
      </c>
      <c r="D18" s="4" t="inlineStr">
        <is>
          <t>First Sample Bank 59-7654321</t>
        </is>
      </c>
      <c r="E18" s="4" t="inlineStr">
        <is>
          <t>1 / text</t>
        </is>
      </c>
      <c r="F18" s="4" t="inlineStr">
        <is>
          <t>2f3d8693b9ffaaaf4a008fa5f65c6729</t>
        </is>
      </c>
      <c r="G18" s="4" t="inlineStr">
        <is>
          <t>none — unique</t>
        </is>
      </c>
      <c r="H18" s="4" t="inlineStr">
        <is>
          <t>Interest-Div; 1040 2b</t>
        </is>
      </c>
    </row>
    <row r="19">
      <c r="A19" s="4" t="inlineStr">
        <is>
          <t>in/engagement.json</t>
        </is>
      </c>
      <c r="B19" s="4" t="inlineStr">
        <is>
          <t>Engagement profile &amp; firm notes</t>
        </is>
      </c>
      <c r="C19" s="4" t="inlineStr">
        <is>
          <t>2025</t>
        </is>
      </c>
      <c r="D19" s="4" t="inlineStr">
        <is>
          <t>Sample &amp; Co CPAs</t>
        </is>
      </c>
      <c r="E19" s="4" t="inlineStr">
        <is>
          <t>n/a</t>
        </is>
      </c>
      <c r="F19" s="4" t="inlineStr">
        <is>
          <t>254cb90e853b9897519ea7aad58d7f14</t>
        </is>
      </c>
      <c r="G19" s="4" t="inlineStr">
        <is>
          <t>none — unique</t>
        </is>
      </c>
      <c r="H19" s="4" t="inlineStr">
        <is>
          <t>Client-Source; Open Item 1</t>
        </is>
      </c>
    </row>
    <row r="20">
      <c r="A20" s="7" t="inlineStr">
        <is>
          <t>Expected but NOT received: Sample Brokerage 2025 consolidated 1099 (DIV/B) — PY Sch B dividend payer (2,100); account reportedly closed Mar-2025. Open Item 1.</t>
        </is>
      </c>
    </row>
    <row r="21">
      <c r="A21" s="2" t="inlineStr">
        <is>
          <t>All four files read in full (each 1 page / text layer). No duplicate uploads (all md5 distinct). Sources list = inventory above.</t>
        </is>
      </c>
    </row>
    <row r="29">
      <c r="A29" s="3" t="inlineStr">
        <is>
          <t>2025 law-year assumptions used (verified to CY statute / Rev. Proc. 2024-40 as amended by P.L. 119-21 'OBBBA')</t>
        </is>
      </c>
    </row>
    <row r="30">
      <c r="A30" s="2" t="inlineStr">
        <is>
          <t>Standard deduction — single (OBBBA)</t>
        </is>
      </c>
      <c r="C30" s="8" t="n">
        <v>15750</v>
      </c>
    </row>
    <row r="31">
      <c r="A31" s="2" t="inlineStr">
        <is>
          <t>Additional std deduction 65+/blind — single</t>
        </is>
      </c>
      <c r="C31" s="8" t="n">
        <v>2000</v>
      </c>
    </row>
    <row r="32">
      <c r="A32" s="2" t="inlineStr">
        <is>
          <t>Senior deduction §151(f) per qualifying individual (2025-2028)</t>
        </is>
      </c>
      <c r="C32" s="8" t="n">
        <v>6000</v>
      </c>
    </row>
    <row r="33">
      <c r="A33" s="2" t="inlineStr">
        <is>
          <t>Social security wage base</t>
        </is>
      </c>
      <c r="C33" s="8" t="n">
        <v>176100</v>
      </c>
    </row>
    <row r="34">
      <c r="A34" s="2" t="inlineStr">
        <is>
          <t>§402(g) elective deferral limit (under 50)</t>
        </is>
      </c>
      <c r="C34" s="8" t="n">
        <v>23500</v>
      </c>
    </row>
    <row r="35">
      <c r="A35" s="2" t="inlineStr">
        <is>
          <t>NIIT threshold — single</t>
        </is>
      </c>
      <c r="C35" s="8" t="n">
        <v>200000</v>
      </c>
    </row>
    <row r="36">
      <c r="A36" s="2" t="inlineStr">
        <is>
          <t>Additional Medicare threshold — single</t>
        </is>
      </c>
      <c r="C36" s="8" t="n">
        <v>200000</v>
      </c>
    </row>
    <row r="37">
      <c r="A37" s="2" t="inlineStr">
        <is>
          <t>§6654 PY safe harbor AGI breakpoint</t>
        </is>
      </c>
      <c r="C37" s="8" t="n">
        <v>150000</v>
      </c>
    </row>
    <row r="38">
      <c r="A38" s="2" t="inlineStr">
        <is>
          <t>SALT cap 2025 (OBBBA; phase-down over 500k MAGI)</t>
        </is>
      </c>
      <c r="C38" s="8" t="n">
        <v>40000</v>
      </c>
    </row>
    <row r="39">
      <c r="A39" s="2" t="inlineStr">
        <is>
          <t>Senior deduction phase-out start (MAGI, single; 6%)</t>
        </is>
      </c>
      <c r="C39" s="8" t="n">
        <v>75000</v>
      </c>
    </row>
    <row r="40">
      <c r="A40" s="2" t="inlineStr">
        <is>
          <t>Ordinary brackets single: 10/12/22/24/32/35/37% breaks 11,925/48,475/103,350/197,300/250,525/626,350; 0% QD/LTCG to 48,350.</t>
        </is>
      </c>
    </row>
    <row r="42">
      <c r="A42" s="3" t="inlineStr">
        <is>
          <t>Key 2025 figures (live)</t>
        </is>
      </c>
    </row>
    <row r="43">
      <c r="A43" s="2" t="inlineStr">
        <is>
          <t>Total income</t>
        </is>
      </c>
      <c r="C43" s="9">
        <f>'Tax-Cr'!B9</f>
        <v/>
      </c>
    </row>
    <row r="44">
      <c r="A44" s="2" t="inlineStr">
        <is>
          <t>AGI</t>
        </is>
      </c>
      <c r="C44" s="9">
        <f>'Tax-Cr'!B10</f>
        <v/>
      </c>
      <c r="D44" s="2">
        <f>IF(C44=99638,"✓ AGI matches pre-build expectation 99,638","✗ CHECK")</f>
        <v/>
      </c>
    </row>
    <row r="45">
      <c r="A45" s="2" t="inlineStr">
        <is>
          <t>Taxable income</t>
        </is>
      </c>
      <c r="C45" s="9">
        <f>'Tax-Cr'!B14</f>
        <v/>
      </c>
    </row>
    <row r="46">
      <c r="A46" s="2" t="inlineStr">
        <is>
          <t>Total tax</t>
        </is>
      </c>
      <c r="C46" s="9">
        <f>'Tax-Cr'!B23</f>
        <v/>
      </c>
      <c r="D46" s="2">
        <f>IF(C46=13367,"✓ Total tax matches pre-build expectation 13,367","✗ CHECK")</f>
        <v/>
      </c>
    </row>
    <row r="47">
      <c r="A47" s="2" t="inlineStr">
        <is>
          <t>NIIT</t>
        </is>
      </c>
      <c r="C47" s="9">
        <f>'Other-Taxes'!B19</f>
        <v/>
      </c>
    </row>
    <row r="48">
      <c r="A48" s="2" t="inlineStr">
        <is>
          <t>Total payments</t>
        </is>
      </c>
      <c r="C48" s="9">
        <f>'Payments-Est'!B13</f>
        <v/>
      </c>
    </row>
    <row r="49">
      <c r="A49" s="2" t="inlineStr">
        <is>
          <t>Overpaid / (owed)</t>
        </is>
      </c>
      <c r="C49" s="9">
        <f>'Payments-Est'!B15</f>
        <v/>
      </c>
      <c r="D49" s="2">
        <f>IF(C49=753,"✓ Overpayment matches pre-build expectation 753","✗ CHECK")</f>
        <v/>
      </c>
    </row>
    <row r="50">
      <c r="A50" s="2" t="inlineStr">
        <is>
          <t>Capital loss c/f to 2026</t>
        </is>
      </c>
      <c r="C50" s="9">
        <f>Carryforwards!E4</f>
        <v/>
      </c>
      <c r="D50" s="2">
        <f>IF(C50=5500,"✓ C/f out matches expectation 5,500","✗ CHECK")</f>
        <v/>
      </c>
    </row>
    <row r="51">
      <c r="A51" s="7" t="inlineStr">
        <is>
          <t>All 2025 figures are provisional until the Sample Brokerage 1099 (Open Item 1) is received.</t>
        </is>
      </c>
    </row>
    <row r="53">
      <c r="A53" s="3" t="inlineStr">
        <is>
          <t>Tab index</t>
        </is>
      </c>
    </row>
    <row r="54">
      <c r="A54" s="2" t="inlineStr">
        <is>
          <t>PY-Proof — 2024 return reproduced &amp; proven</t>
        </is>
      </c>
    </row>
    <row r="55">
      <c r="A55" s="2" t="inlineStr">
        <is>
          <t>2YR-Compare — manager's one-stop comparison</t>
        </is>
      </c>
    </row>
    <row r="56">
      <c r="A56" s="2" t="inlineStr">
        <is>
          <t>Wages — W-2</t>
        </is>
      </c>
    </row>
    <row r="57">
      <c r="A57" s="2" t="inlineStr">
        <is>
          <t>Interest-Div — Sch B</t>
        </is>
      </c>
    </row>
    <row r="58">
      <c r="A58" s="2" t="inlineStr">
        <is>
          <t>CapGains-4797 — 8949 by box, Sch D, loss c/f</t>
        </is>
      </c>
    </row>
    <row r="59">
      <c r="A59" s="2" t="inlineStr">
        <is>
          <t>Itemized-Std — line 12 &amp; Sch 1-A</t>
        </is>
      </c>
    </row>
    <row r="60">
      <c r="A60" s="2" t="inlineStr">
        <is>
          <t>Tax-Cr — income through total tax</t>
        </is>
      </c>
    </row>
    <row r="61">
      <c r="A61" s="2" t="inlineStr">
        <is>
          <t>Other-Taxes — 8959/8960</t>
        </is>
      </c>
    </row>
    <row r="62">
      <c r="A62" s="2" t="inlineStr">
        <is>
          <t>Payments-Est — withholding, estimates, safe harbor</t>
        </is>
      </c>
    </row>
    <row r="63">
      <c r="A63" s="2" t="inlineStr">
        <is>
          <t>Carryforwards — manifest</t>
        </is>
      </c>
    </row>
    <row r="64">
      <c r="A64" s="2" t="inlineStr">
        <is>
          <t>Open-Items</t>
        </is>
      </c>
    </row>
    <row r="65">
      <c r="A65" s="2" t="inlineStr">
        <is>
          <t>Issues — issue-library walk</t>
        </is>
      </c>
    </row>
    <row r="66">
      <c r="A66" s="2" t="inlineStr">
        <is>
          <t>Client-Source — firm notes &amp; PY key figures</t>
        </is>
      </c>
    </row>
    <row r="67">
      <c r="A67" s="2" t="inlineStr">
        <is>
          <t>Omitted (no content): SchE-K1s, Basis, 8582-PAL, Other-Income, Adjustments, QBI, State</t>
        </is>
      </c>
    </row>
    <row r="69">
      <c r="A69" s="3" t="inlineStr">
        <is>
          <t>Color legend</t>
        </is>
      </c>
    </row>
    <row r="70">
      <c r="A70" s="4" t="inlineStr">
        <is>
          <t>Blue font = keyed from source document</t>
        </is>
      </c>
    </row>
    <row r="71">
      <c r="A71" s="10" t="inlineStr">
        <is>
          <t>Green font = live cross-tab link</t>
        </is>
      </c>
    </row>
    <row r="72">
      <c r="A72" s="2" t="inlineStr">
        <is>
          <t>Black font = same-tab formula</t>
        </is>
      </c>
    </row>
    <row r="73">
      <c r="A73" s="11" t="inlineStr">
        <is>
          <t>Yellow fill = judgment / estimate / PBC placeholder</t>
        </is>
      </c>
    </row>
    <row r="74">
      <c r="A74" s="7" t="inlineStr">
        <is>
          <t>Red font = error / unreconciled / open finding</t>
        </is>
      </c>
    </row>
    <row r="76">
      <c r="A76" s="3" t="inlineStr">
        <is>
          <t>Preparer</t>
        </is>
      </c>
    </row>
    <row r="77">
      <c r="A77" s="2" t="inlineStr">
        <is>
          <t>Jane Sample, CPA</t>
        </is>
      </c>
    </row>
    <row r="78">
      <c r="A78" s="2" t="inlineStr">
        <is>
          <t>Sample &amp; Co CPAs</t>
        </is>
      </c>
    </row>
    <row r="79">
      <c r="A79" s="2" t="inlineStr">
        <is>
          <t>(561) 555-0100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52" customWidth="1" min="2" max="2"/>
    <col width="14" customWidth="1" min="3" max="3"/>
    <col width="16" customWidth="1" min="4" max="4"/>
    <col width="58" customWidth="1" min="5" max="5"/>
    <col width="60" customWidth="1" min="6" max="6"/>
  </cols>
  <sheetData>
    <row r="1">
      <c r="A1" s="1" t="inlineStr">
        <is>
          <t>PY-Proof — 2024 Form 1040 as filed (Prior Firm CPA PA) reproduced and proven</t>
        </is>
      </c>
    </row>
    <row r="2">
      <c r="A2" s="2" t="inlineStr">
        <is>
          <t>Alex Testman  |  SSN XXX-XX-4321  |  Tax year 2025  |  Prepared by Jane Sample, CPA, Sample &amp; Co CPAs</t>
        </is>
      </c>
    </row>
    <row r="3">
      <c r="A3" s="6" t="inlineStr">
        <is>
          <t>Line</t>
        </is>
      </c>
      <c r="B3" s="6" t="inlineStr">
        <is>
          <t>Description</t>
        </is>
      </c>
      <c r="C3" s="6" t="inlineStr">
        <is>
          <t>2024 filed</t>
        </is>
      </c>
      <c r="D3" s="6" t="inlineStr">
        <is>
          <t>Proof / recompute</t>
        </is>
      </c>
      <c r="E3" s="6" t="inlineStr">
        <is>
          <t>Check</t>
        </is>
      </c>
      <c r="F3" s="6" t="inlineStr">
        <is>
          <t>Note</t>
        </is>
      </c>
    </row>
    <row r="4">
      <c r="A4" s="2" t="inlineStr">
        <is>
          <t>1a</t>
        </is>
      </c>
      <c r="B4" s="2" t="inlineStr">
        <is>
          <t>Wages (W-2)</t>
        </is>
      </c>
      <c r="C4" s="8" t="n">
        <v>95000</v>
      </c>
    </row>
    <row r="5">
      <c r="A5" s="2" t="inlineStr">
        <is>
          <t>2b</t>
        </is>
      </c>
      <c r="B5" s="2" t="inlineStr">
        <is>
          <t>Taxable interest (Sch B)</t>
        </is>
      </c>
      <c r="C5" s="8" t="n">
        <v>1240</v>
      </c>
    </row>
    <row r="6">
      <c r="A6" s="2" t="inlineStr">
        <is>
          <t>3b</t>
        </is>
      </c>
      <c r="B6" s="2" t="inlineStr">
        <is>
          <t>Ordinary dividends (Sch B)</t>
        </is>
      </c>
      <c r="C6" s="8" t="n">
        <v>2100</v>
      </c>
    </row>
    <row r="7">
      <c r="A7" s="2" t="inlineStr">
        <is>
          <t>7</t>
        </is>
      </c>
      <c r="B7" s="2" t="inlineStr">
        <is>
          <t>Capital gain or (loss) (Sch D)</t>
        </is>
      </c>
      <c r="C7" s="8" t="n">
        <v>-3000</v>
      </c>
    </row>
    <row r="8">
      <c r="A8" s="2" t="inlineStr">
        <is>
          <t>9</t>
        </is>
      </c>
      <c r="B8" s="2" t="inlineStr">
        <is>
          <t>Total income</t>
        </is>
      </c>
      <c r="C8" s="12" t="n">
        <v>95340</v>
      </c>
      <c r="D8" s="13">
        <f>SUM(C4:C7)</f>
        <v/>
      </c>
      <c r="E8" s="2">
        <f>IF(ROUND(D8,0)=C8,"✓ TIES total income 95,340 = 1a+2b+3b+7","✗ CHECK")</f>
        <v/>
      </c>
    </row>
    <row r="9">
      <c r="A9" s="2" t="inlineStr">
        <is>
          <t>11</t>
        </is>
      </c>
      <c r="B9" s="2" t="inlineStr">
        <is>
          <t>Adjusted gross income</t>
        </is>
      </c>
      <c r="C9" s="8" t="n">
        <v>95340</v>
      </c>
      <c r="D9" s="13">
        <f>C8</f>
        <v/>
      </c>
      <c r="E9" s="2">
        <f>IF(D9=C9,"✓ TIES AGI = total income (no Sch 1 adjustments)","✗ CHECK")</f>
        <v/>
      </c>
    </row>
    <row r="10">
      <c r="A10" s="2" t="inlineStr">
        <is>
          <t>12</t>
        </is>
      </c>
      <c r="B10" s="2" t="inlineStr">
        <is>
          <t>Standard deduction (2024 single)</t>
        </is>
      </c>
      <c r="C10" s="8" t="n">
        <v>14600</v>
      </c>
      <c r="D10" s="13" t="n">
        <v>14600</v>
      </c>
      <c r="E10" s="2">
        <f>IF(D10=C10,"✓ TIES 2024 single standard deduction 14,600","✗ CHECK")</f>
        <v/>
      </c>
    </row>
    <row r="11">
      <c r="A11" s="2" t="inlineStr">
        <is>
          <t>15</t>
        </is>
      </c>
      <c r="B11" s="2" t="inlineStr">
        <is>
          <t>Taxable income</t>
        </is>
      </c>
      <c r="C11" s="8" t="n">
        <v>80740</v>
      </c>
      <c r="D11" s="13">
        <f>C9-C10</f>
        <v/>
      </c>
      <c r="E11" s="2">
        <f>IF(D11=C11,"✓ TIES taxable income 80,740","✗ CHECK")</f>
        <v/>
      </c>
    </row>
    <row r="12">
      <c r="A12" s="2" t="inlineStr">
        <is>
          <t>16</t>
        </is>
      </c>
      <c r="B12" s="2" t="inlineStr">
        <is>
          <t>Tax</t>
        </is>
      </c>
      <c r="C12" s="8" t="n">
        <v>12796</v>
      </c>
      <c r="D12" s="13">
        <f>D26</f>
        <v/>
      </c>
      <c r="E12" s="2">
        <f>IF(ABS(C12-D12)&lt;3000,"✓ Variance (17) explained below — under firm $3,000 threshold, note only","✗ CHECK")</f>
        <v/>
      </c>
    </row>
    <row r="13">
      <c r="A13" s="2" t="inlineStr">
        <is>
          <t>24</t>
        </is>
      </c>
      <c r="B13" s="2" t="inlineStr">
        <is>
          <t>Total tax</t>
        </is>
      </c>
      <c r="C13" s="12" t="n">
        <v>12796</v>
      </c>
      <c r="D13" s="13">
        <f>C12</f>
        <v/>
      </c>
      <c r="E13" s="2">
        <f>IF(D13=C13,"✓ TIES total tax = line 16 (no credits/other taxes)","✗ CHECK")</f>
        <v/>
      </c>
    </row>
    <row r="14">
      <c r="A14" s="2" t="inlineStr">
        <is>
          <t>25a</t>
        </is>
      </c>
      <c r="B14" s="2" t="inlineStr">
        <is>
          <t>Federal income tax withheld (W-2)</t>
        </is>
      </c>
      <c r="C14" s="8" t="n">
        <v>13400</v>
      </c>
    </row>
    <row r="15">
      <c r="A15" s="2" t="inlineStr">
        <is>
          <t>33</t>
        </is>
      </c>
      <c r="B15" s="2" t="inlineStr">
        <is>
          <t>Total payments</t>
        </is>
      </c>
      <c r="C15" s="12" t="n">
        <v>13400</v>
      </c>
      <c r="D15" s="13">
        <f>C14</f>
        <v/>
      </c>
      <c r="E15" s="2">
        <f>IF(D15=C15,"✓ TIES payments = 25a","✗ CHECK")</f>
        <v/>
      </c>
    </row>
    <row r="16">
      <c r="A16" s="2" t="inlineStr">
        <is>
          <t>34</t>
        </is>
      </c>
      <c r="B16" s="2" t="inlineStr">
        <is>
          <t>Overpaid</t>
        </is>
      </c>
      <c r="C16" s="14" t="n">
        <v>604</v>
      </c>
      <c r="D16" s="13">
        <f>C15-C13</f>
        <v/>
      </c>
      <c r="E16" s="2">
        <f>IF(D16=C16,"✓ TIES 13,400 - 12,796 = 604","✗ CHECK")</f>
        <v/>
      </c>
    </row>
    <row r="17">
      <c r="A17" s="2" t="inlineStr">
        <is>
          <t>35a</t>
        </is>
      </c>
      <c r="B17" s="2" t="inlineStr">
        <is>
          <t>Refund</t>
        </is>
      </c>
      <c r="C17" s="8" t="n">
        <v>604</v>
      </c>
    </row>
    <row r="18">
      <c r="A18" s="2" t="inlineStr">
        <is>
          <t>36</t>
        </is>
      </c>
      <c r="B18" s="2" t="inlineStr">
        <is>
          <t>Applied to 2025 estimated tax</t>
        </is>
      </c>
      <c r="C18" s="8" t="n">
        <v>0</v>
      </c>
      <c r="D18" s="13">
        <f>C17+C18</f>
        <v/>
      </c>
      <c r="E18" s="2">
        <f>IF(D18=C16,"✓ TIES refund + applied = overpayment","✗ CHECK")</f>
        <v/>
      </c>
      <c r="F18" s="2" t="inlineStr">
        <is>
          <t>Line 36 not shown on filed return; full overpayment refunded (35a = 34) so applied = 0.</t>
        </is>
      </c>
    </row>
    <row r="20">
      <c r="A20" s="3" t="inlineStr">
        <is>
          <t>Schedule B detail</t>
        </is>
      </c>
    </row>
    <row r="21">
      <c r="B21" s="2" t="inlineStr">
        <is>
          <t>Interest — First Sample Bank</t>
        </is>
      </c>
      <c r="C21" s="8" t="n">
        <v>1240</v>
      </c>
      <c r="E21" s="2">
        <f>IF(C21=C5,"✓ TIES to line 2b 1,240","✗ CHECK")</f>
        <v/>
      </c>
    </row>
    <row r="22">
      <c r="B22" s="2" t="inlineStr">
        <is>
          <t>Dividends — Sample Brokerage</t>
        </is>
      </c>
      <c r="C22" s="8" t="n">
        <v>2100</v>
      </c>
      <c r="E22" s="2">
        <f>IF(C22=C6,"✓ TIES to line 3b 2,100","✗ CHECK")</f>
        <v/>
      </c>
      <c r="F22" s="2" t="inlineStr">
        <is>
          <t>Qualified dividends (3a) not shown on the PY page provided.</t>
        </is>
      </c>
    </row>
    <row r="23">
      <c r="A23" s="3" t="inlineStr">
        <is>
          <t>Schedule D</t>
        </is>
      </c>
    </row>
    <row r="24">
      <c r="B24" s="2" t="inlineStr">
        <is>
          <t>Net capital loss deducted 2024</t>
        </is>
      </c>
      <c r="C24" s="8" t="n">
        <v>-3000</v>
      </c>
      <c r="E24" s="2">
        <f>IF(C24=C7,"✓ TIES to line 7 (3,000)","✗ CHECK")</f>
        <v/>
      </c>
    </row>
    <row r="25">
      <c r="B25" s="2" t="inlineStr">
        <is>
          <t>Capital loss carryforward to 2025</t>
        </is>
      </c>
      <c r="C25" s="8" t="n">
        <v>-8500</v>
      </c>
      <c r="F25" s="2" t="inlineStr">
        <is>
          <t>ST/LT split of the 8,500 not shown on PY page provided — see Issues.</t>
        </is>
      </c>
    </row>
    <row r="26">
      <c r="A26" s="3" t="inlineStr">
        <is>
          <t>Tax recompute</t>
        </is>
      </c>
      <c r="B26" s="2" t="inlineStr">
        <is>
          <t>2024 tax-table tax treating all income as ordinary (midpoint of $50 row)</t>
        </is>
      </c>
      <c r="D26" s="13">
        <f>ROUND(IF(C27&lt;=11600,C27*0.1,IF(C27&lt;=47150,1160+(C27-11600)*0.12,IF(C27&lt;=100525,5426+(C27-47150)*0.22,17168.5+(C27-100525)*0.24))),0)</f>
        <v/>
      </c>
    </row>
    <row r="27">
      <c r="B27" s="2" t="inlineStr">
        <is>
          <t>Tax-table midpoint</t>
        </is>
      </c>
      <c r="C27" s="13">
        <f>FLOOR(C11,50)+25</f>
        <v/>
      </c>
    </row>
    <row r="28">
      <c r="B28" s="2" t="inlineStr">
        <is>
          <t>Filed tax less ordinary recompute</t>
        </is>
      </c>
      <c r="D28" s="15">
        <f>C12-D26</f>
        <v/>
      </c>
      <c r="F28" s="2" t="inlineStr">
        <is>
          <t>Filed tax is $17 lower than ordinary-rate tax. Most likely mechanism: ~$243 of the $2,100 dividends were qualified (15% vs 22%). Under $3,000 firm threshold — not an Open Item; no 1040-X.</t>
        </is>
      </c>
    </row>
    <row r="29">
      <c r="B29" s="2" t="inlineStr">
        <is>
          <t>Implied qualified dividends taxed at 15% (diff / 7%)</t>
        </is>
      </c>
      <c r="D29" s="13">
        <f>-D28/0.07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6" customWidth="1" min="3" max="3"/>
    <col width="12" customWidth="1" min="4" max="4"/>
    <col width="10" customWidth="1" min="5" max="5"/>
    <col width="90" customWidth="1" min="6" max="6"/>
  </cols>
  <sheetData>
    <row r="1">
      <c r="A1" s="1" t="inlineStr">
        <is>
          <t>Two-year comparison — 2024 filed vs 2025 per workpapers</t>
        </is>
      </c>
    </row>
    <row r="2">
      <c r="A2" s="2" t="inlineStr">
        <is>
          <t>Alex Testman  |  SSN XXX-XX-4321  |  Tax year 2025  |  Prepared by Jane Sample, CPA, Sample &amp; Co CPAs</t>
        </is>
      </c>
    </row>
    <row r="3">
      <c r="A3" s="6" t="inlineStr">
        <is>
          <t>Line</t>
        </is>
      </c>
      <c r="B3" s="6" t="inlineStr">
        <is>
          <t>2024 filed</t>
        </is>
      </c>
      <c r="C3" s="6" t="inlineStr">
        <is>
          <t>2025 workpapers</t>
        </is>
      </c>
      <c r="D3" s="6" t="inlineStr">
        <is>
          <t>$ change</t>
        </is>
      </c>
      <c r="E3" s="6" t="inlineStr">
        <is>
          <t>% change</t>
        </is>
      </c>
      <c r="F3" s="6" t="inlineStr">
        <is>
          <t>Comment</t>
        </is>
      </c>
    </row>
    <row r="4">
      <c r="A4" s="2" t="inlineStr">
        <is>
          <t>1a Wages</t>
        </is>
      </c>
      <c r="B4" s="8">
        <f>'PY-Proof'!C4</f>
        <v/>
      </c>
      <c r="C4" s="9">
        <f>Wages!C22</f>
        <v/>
      </c>
      <c r="D4" s="13">
        <f>C4-B4</f>
        <v/>
      </c>
      <c r="E4" s="16">
        <f>IF(B4=0,"n/a",D4/ABS(B4))</f>
        <v/>
      </c>
      <c r="F4" s="2" t="inlineStr">
        <is>
          <t>Same employer; raise +6,250. 401(k) 7,500 deferral excluded from box 1.</t>
        </is>
      </c>
    </row>
    <row r="5">
      <c r="A5" s="2" t="inlineStr">
        <is>
          <t>2b Taxable interest</t>
        </is>
      </c>
      <c r="B5" s="8">
        <f>'PY-Proof'!C5</f>
        <v/>
      </c>
      <c r="C5" s="9">
        <f>'Interest-Div'!D13</f>
        <v/>
      </c>
      <c r="D5" s="13">
        <f>C5-B5</f>
        <v/>
      </c>
      <c r="E5" s="16">
        <f>IF(B5=0,"n/a",D5/ABS(B5))</f>
        <v/>
      </c>
      <c r="F5" s="2" t="inlineStr">
        <is>
          <t>First Sample Bank +148.</t>
        </is>
      </c>
    </row>
    <row r="6">
      <c r="A6" s="2" t="inlineStr">
        <is>
          <t>3b Ordinary dividends</t>
        </is>
      </c>
      <c r="B6" s="8">
        <f>'PY-Proof'!C6</f>
        <v/>
      </c>
      <c r="C6" s="9">
        <f>'Interest-Div'!D15</f>
        <v/>
      </c>
      <c r="D6" s="13">
        <f>C6-B6</f>
        <v/>
      </c>
      <c r="E6" s="16">
        <f>IF(B6=0,"n/a",D6/ABS(B6))</f>
        <v/>
      </c>
      <c r="F6" s="7" t="inlineStr">
        <is>
          <t>OPEN — Sample Brokerage 1099 not received; account closed Mar-2025 (Open Item 1).</t>
        </is>
      </c>
    </row>
    <row r="7">
      <c r="A7" s="2" t="inlineStr">
        <is>
          <t>7 Capital gain/(loss)</t>
        </is>
      </c>
      <c r="B7" s="8">
        <f>'PY-Proof'!C7</f>
        <v/>
      </c>
      <c r="C7" s="9">
        <f>'CapGains-4797'!G18</f>
        <v/>
      </c>
      <c r="D7" s="13">
        <f>C7-B7</f>
        <v/>
      </c>
      <c r="E7" s="16">
        <f>IF(B7=0,"n/a",D7/ABS(B7))</f>
        <v/>
      </c>
      <c r="F7" s="2" t="inlineStr">
        <is>
          <t>Loss c/f usage (3,000) again; 2025 brokerage sales OPEN (Open Item 1).</t>
        </is>
      </c>
    </row>
    <row r="8">
      <c r="A8" s="2" t="inlineStr">
        <is>
          <t>9 Total income</t>
        </is>
      </c>
      <c r="B8" s="8">
        <f>'PY-Proof'!C8</f>
        <v/>
      </c>
      <c r="C8" s="9">
        <f>'Tax-Cr'!B9</f>
        <v/>
      </c>
      <c r="D8" s="13">
        <f>C8-B8</f>
        <v/>
      </c>
      <c r="E8" s="16">
        <f>IF(B8=0,"n/a",D8/ABS(B8))</f>
        <v/>
      </c>
      <c r="F8" s="2" t="inlineStr"/>
    </row>
    <row r="9">
      <c r="A9" s="2" t="inlineStr">
        <is>
          <t>11 AGI</t>
        </is>
      </c>
      <c r="B9" s="8">
        <f>'PY-Proof'!C9</f>
        <v/>
      </c>
      <c r="C9" s="9">
        <f>'Tax-Cr'!B10</f>
        <v/>
      </c>
      <c r="D9" s="13">
        <f>C9-B9</f>
        <v/>
      </c>
      <c r="E9" s="16">
        <f>IF(B9=0,"n/a",D9/ABS(B9))</f>
        <v/>
      </c>
      <c r="F9" s="2" t="inlineStr"/>
    </row>
    <row r="10">
      <c r="A10" s="2" t="inlineStr">
        <is>
          <t>12 Deduction</t>
        </is>
      </c>
      <c r="B10" s="8">
        <f>'PY-Proof'!C10</f>
        <v/>
      </c>
      <c r="C10" s="9">
        <f>'Tax-Cr'!B11</f>
        <v/>
      </c>
      <c r="D10" s="13">
        <f>C10-B10</f>
        <v/>
      </c>
      <c r="E10" s="16">
        <f>IF(B10=0,"n/a",D10/ABS(B10))</f>
        <v/>
      </c>
      <c r="F10" s="2" t="inlineStr">
        <is>
          <t>2025 standard deduction 15,750 (OBBBA).</t>
        </is>
      </c>
    </row>
    <row r="11">
      <c r="A11" s="2" t="inlineStr">
        <is>
          <t>15 Taxable income</t>
        </is>
      </c>
      <c r="B11" s="8">
        <f>'PY-Proof'!C11</f>
        <v/>
      </c>
      <c r="C11" s="9">
        <f>'Tax-Cr'!B14</f>
        <v/>
      </c>
      <c r="D11" s="13">
        <f>C11-B11</f>
        <v/>
      </c>
      <c r="E11" s="16">
        <f>IF(B11=0,"n/a",D11/ABS(B11))</f>
        <v/>
      </c>
      <c r="F11" s="2" t="inlineStr"/>
    </row>
    <row r="12">
      <c r="A12" s="2" t="inlineStr">
        <is>
          <t>16 Tax</t>
        </is>
      </c>
      <c r="B12" s="8">
        <f>'PY-Proof'!C12</f>
        <v/>
      </c>
      <c r="C12" s="9">
        <f>'Tax-Cr'!B20</f>
        <v/>
      </c>
      <c r="D12" s="13">
        <f>C12-B12</f>
        <v/>
      </c>
      <c r="E12" s="16">
        <f>IF(B12=0,"n/a",D12/ABS(B12))</f>
        <v/>
      </c>
      <c r="F12" s="2" t="inlineStr">
        <is>
          <t>Higher TI; brackets indexed. PY tax $17 below ordinary recompute (likely QD) — note.</t>
        </is>
      </c>
    </row>
    <row r="13">
      <c r="A13" s="2" t="inlineStr">
        <is>
          <t>23 Other taxes</t>
        </is>
      </c>
      <c r="B13" s="8" t="n">
        <v>0</v>
      </c>
      <c r="C13" s="9">
        <f>'Tax-Cr'!B22</f>
        <v/>
      </c>
      <c r="D13" s="13">
        <f>C13-B13</f>
        <v/>
      </c>
      <c r="E13" s="16">
        <f>IF(B13=0,"n/a",D13/ABS(B13))</f>
        <v/>
      </c>
      <c r="F13" s="2" t="inlineStr">
        <is>
          <t>None either year.</t>
        </is>
      </c>
    </row>
    <row r="14">
      <c r="A14" s="2" t="inlineStr">
        <is>
          <t>24 Total tax</t>
        </is>
      </c>
      <c r="B14" s="8">
        <f>'PY-Proof'!C13</f>
        <v/>
      </c>
      <c r="C14" s="9">
        <f>'Tax-Cr'!B23</f>
        <v/>
      </c>
      <c r="D14" s="13">
        <f>C14-B14</f>
        <v/>
      </c>
      <c r="E14" s="16">
        <f>IF(B14=0,"n/a",D14/ABS(B14))</f>
        <v/>
      </c>
      <c r="F14" s="2" t="inlineStr"/>
    </row>
    <row r="15">
      <c r="A15" s="2" t="inlineStr">
        <is>
          <t>25a Withholding</t>
        </is>
      </c>
      <c r="B15" s="8">
        <f>'PY-Proof'!C14</f>
        <v/>
      </c>
      <c r="C15" s="9">
        <f>'Payments-Est'!B10</f>
        <v/>
      </c>
      <c r="D15" s="13">
        <f>C15-B15</f>
        <v/>
      </c>
      <c r="E15" s="16">
        <f>IF(B15=0,"n/a",D15/ABS(B15))</f>
        <v/>
      </c>
      <c r="F15" s="2" t="inlineStr">
        <is>
          <t>W-2 box 2 +720.</t>
        </is>
      </c>
    </row>
    <row r="16">
      <c r="A16" s="2" t="inlineStr">
        <is>
          <t>33 Total payments</t>
        </is>
      </c>
      <c r="B16" s="8">
        <f>'PY-Proof'!C15</f>
        <v/>
      </c>
      <c r="C16" s="9">
        <f>'Payments-Est'!B13</f>
        <v/>
      </c>
      <c r="D16" s="13">
        <f>C16-B16</f>
        <v/>
      </c>
      <c r="E16" s="16">
        <f>IF(B16=0,"n/a",D16/ABS(B16))</f>
        <v/>
      </c>
      <c r="F16" s="2" t="inlineStr"/>
    </row>
    <row r="17">
      <c r="A17" s="2" t="inlineStr">
        <is>
          <t>34 Overpaid / (owed)</t>
        </is>
      </c>
      <c r="B17" s="8">
        <f>'PY-Proof'!C16</f>
        <v/>
      </c>
      <c r="C17" s="17">
        <f>'Payments-Est'!B15</f>
        <v/>
      </c>
      <c r="D17" s="13">
        <f>C17-B17</f>
        <v/>
      </c>
      <c r="E17" s="16">
        <f>IF(B17=0,"n/a",D17/ABS(B17))</f>
        <v/>
      </c>
      <c r="F17" s="2" t="inlineStr">
        <is>
          <t>Projected refund, pending brokerage 1099.</t>
        </is>
      </c>
    </row>
    <row r="19">
      <c r="A19" s="3" t="inlineStr">
        <is>
          <t>Checks</t>
        </is>
      </c>
    </row>
    <row r="20">
      <c r="B20" s="2">
        <f>IF(C8=SUM(C4:C7),"✓ 2025 total income = 1a+2b+3b+7","✗ CHECK")</f>
        <v/>
      </c>
    </row>
    <row r="21">
      <c r="B21" s="2">
        <f>IF(B8=SUM(B4:B7),"✓ 2024 total income = 1a+2b+3b+7","✗ CHECK")</f>
        <v/>
      </c>
    </row>
    <row r="22">
      <c r="B22" s="2">
        <f>IF(C11=C8-C10,"✓ 2025 taxable income = total income - deduction (no adjustments/QBI)","✗ CHECK")</f>
        <v/>
      </c>
    </row>
    <row r="23">
      <c r="B23" s="2">
        <f>IF(C17=C16-C14,"✓ 2025 overpayment = payments - total tax (ties Payments-Est)","✗ CHECK")</f>
        <v/>
      </c>
    </row>
    <row r="24">
      <c r="B24" s="2">
        <f>IF(Carryforwards!E4=-'CapGains-4797'!G19,"✓ Cap loss c/f out ties Carryforwards","✗ CHECK")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50" customWidth="1" min="2" max="2"/>
    <col width="22" customWidth="1" min="3" max="3"/>
    <col width="70" customWidth="1" min="4" max="4"/>
  </cols>
  <sheetData>
    <row r="1">
      <c r="A1" s="1" t="inlineStr">
        <is>
          <t>Wages — Form W-2 transcription and reconciliation (Form 1040 line 1a)</t>
        </is>
      </c>
    </row>
    <row r="2">
      <c r="A2" s="2" t="inlineStr">
        <is>
          <t>Alex Testman  |  SSN XXX-XX-4321  |  Tax year 2025  |  Prepared by Jane Sample, CPA, Sample &amp; Co CPAs</t>
        </is>
      </c>
    </row>
    <row r="3">
      <c r="A3" s="6" t="inlineStr">
        <is>
          <t>Box</t>
        </is>
      </c>
      <c r="B3" s="6" t="inlineStr">
        <is>
          <t>Description</t>
        </is>
      </c>
      <c r="C3" s="6" t="inlineStr">
        <is>
          <t>Sample Industries LLC</t>
        </is>
      </c>
      <c r="D3" s="6" t="inlineStr">
        <is>
          <t>Check / note</t>
        </is>
      </c>
    </row>
    <row r="4">
      <c r="B4" s="2" t="inlineStr">
        <is>
          <t>Employer / EIN</t>
        </is>
      </c>
      <c r="C4" s="4" t="inlineStr">
        <is>
          <t>Sample Industries LLC  EIN 59-1234567</t>
        </is>
      </c>
    </row>
    <row r="5">
      <c r="A5" s="2" t="inlineStr">
        <is>
          <t>1</t>
        </is>
      </c>
      <c r="B5" s="2" t="inlineStr">
        <is>
          <t>Wages, tips, other comp</t>
        </is>
      </c>
      <c r="C5" s="18" t="n">
        <v>101250</v>
      </c>
    </row>
    <row r="6">
      <c r="A6" s="2" t="inlineStr">
        <is>
          <t>2</t>
        </is>
      </c>
      <c r="B6" s="2" t="inlineStr">
        <is>
          <t>Federal income tax withheld</t>
        </is>
      </c>
      <c r="C6" s="18" t="n">
        <v>14120</v>
      </c>
    </row>
    <row r="7">
      <c r="A7" s="2" t="inlineStr">
        <is>
          <t>3</t>
        </is>
      </c>
      <c r="B7" s="2" t="inlineStr">
        <is>
          <t>Social security wages</t>
        </is>
      </c>
      <c r="C7" s="18" t="n">
        <v>108750</v>
      </c>
    </row>
    <row r="8">
      <c r="A8" s="2" t="inlineStr">
        <is>
          <t>4</t>
        </is>
      </c>
      <c r="B8" s="2" t="inlineStr">
        <is>
          <t>Social security tax withheld</t>
        </is>
      </c>
      <c r="C8" s="18" t="n">
        <v>6742.5</v>
      </c>
    </row>
    <row r="9">
      <c r="A9" s="2" t="inlineStr">
        <is>
          <t>5</t>
        </is>
      </c>
      <c r="B9" s="2" t="inlineStr">
        <is>
          <t>Medicare wages and tips</t>
        </is>
      </c>
      <c r="C9" s="18" t="n">
        <v>108750</v>
      </c>
    </row>
    <row r="10">
      <c r="A10" s="2" t="inlineStr">
        <is>
          <t>6</t>
        </is>
      </c>
      <c r="B10" s="2" t="inlineStr">
        <is>
          <t>Medicare tax withheld</t>
        </is>
      </c>
      <c r="C10" s="18" t="n">
        <v>1576.88</v>
      </c>
    </row>
    <row r="11">
      <c r="A11" s="2" t="inlineStr">
        <is>
          <t>12a D</t>
        </is>
      </c>
      <c r="B11" s="2" t="inlineStr">
        <is>
          <t>401(k) elective deferral</t>
        </is>
      </c>
      <c r="C11" s="18" t="n">
        <v>7500</v>
      </c>
    </row>
    <row r="12">
      <c r="A12" s="2" t="inlineStr">
        <is>
          <t>16</t>
        </is>
      </c>
      <c r="B12" s="2" t="inlineStr">
        <is>
          <t>State wages</t>
        </is>
      </c>
      <c r="C12" s="4" t="inlineStr">
        <is>
          <t>FL n/a</t>
        </is>
      </c>
      <c r="D12" s="2" t="inlineStr">
        <is>
          <t>Florida — no state income tax.</t>
        </is>
      </c>
    </row>
    <row r="14">
      <c r="A14" s="3" t="inlineStr">
        <is>
          <t>Reconciliation</t>
        </is>
      </c>
    </row>
    <row r="15">
      <c r="B15" s="2" t="inlineStr">
        <is>
          <t>Medicare wages (box 5) less elective deferral (12 D)</t>
        </is>
      </c>
      <c r="C15" s="19">
        <f>C9-C11</f>
        <v/>
      </c>
      <c r="D15" s="2">
        <f>IF(ROUND(C15-C5,2)=0,"✓ TIES box 1 = box 5 - 401(k) 7,500","✗ CHECK")</f>
        <v/>
      </c>
    </row>
    <row r="16">
      <c r="B16" s="2" t="inlineStr">
        <is>
          <t>SS tax recompute 6.2% x box 3</t>
        </is>
      </c>
      <c r="C16" s="19">
        <f>ROUND(C7*0.062,2)</f>
        <v/>
      </c>
      <c r="D16" s="2">
        <f>IF(ROUND(C16-C8,2)=0,"✓ TIES box 4 6,742.50","✗ CHECK")</f>
        <v/>
      </c>
    </row>
    <row r="17">
      <c r="B17" s="2" t="inlineStr">
        <is>
          <t>Medicare tax recompute 1.45% x box 5</t>
        </is>
      </c>
      <c r="C17" s="19">
        <f>ROUND(C9*0.0145,2)</f>
        <v/>
      </c>
      <c r="D17" s="2">
        <f>IF(ROUND(C17-C10,2)=0,"✓ TIES box 6 1,576.88 (no Add'l Medicare withheld)","✗ CHECK")</f>
        <v/>
      </c>
    </row>
    <row r="18">
      <c r="B18" s="2" t="inlineStr">
        <is>
          <t>2025 SS wage base</t>
        </is>
      </c>
      <c r="C18" s="9">
        <f>Cover!C33</f>
        <v/>
      </c>
      <c r="D18" s="2">
        <f>IF(C7&lt;=C18,"✓ Box 3 under wage base — single employer, no excess SS","✗ CHECK")</f>
        <v/>
      </c>
    </row>
    <row r="19">
      <c r="B19" s="2" t="inlineStr">
        <is>
          <t>2025 §402(g) elective deferral limit</t>
        </is>
      </c>
      <c r="C19" s="9">
        <f>Cover!C34</f>
        <v/>
      </c>
      <c r="D19" s="2">
        <f>IF(C11&lt;=C19,"✓ 401(k) deferral within limit","✗ CHECK")</f>
        <v/>
      </c>
    </row>
    <row r="21">
      <c r="A21" s="3" t="inlineStr">
        <is>
          <t>Return</t>
        </is>
      </c>
    </row>
    <row r="22">
      <c r="B22" s="2" t="inlineStr">
        <is>
          <t>Form 1040 line 1a — wages</t>
        </is>
      </c>
      <c r="C22" s="20">
        <f>ROUND(C5,0)</f>
        <v/>
      </c>
    </row>
    <row r="23">
      <c r="B23" s="2" t="inlineStr">
        <is>
          <t>Form 1040 line 25a — W-2 withholding</t>
        </is>
      </c>
      <c r="C23" s="13">
        <f>ROUND(C6,0)</f>
        <v/>
      </c>
    </row>
    <row r="24">
      <c r="B24" s="2" t="inlineStr">
        <is>
          <t>2024 line 1a (PY-Proof)</t>
        </is>
      </c>
      <c r="C24" s="9">
        <f>'PY-Proof'!C4</f>
        <v/>
      </c>
    </row>
    <row r="25">
      <c r="B25" s="2" t="inlineStr">
        <is>
          <t>Change vs PY</t>
        </is>
      </c>
      <c r="C25" s="13">
        <f>C22-C24</f>
        <v/>
      </c>
      <c r="D25" s="2" t="inlineStr">
        <is>
          <t>Same employer EIN not shown on PY page; +6,250 wage increase. PY W-2 not in file (PY 401(k) unknown).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4" customWidth="1" min="2" max="2"/>
    <col width="18" customWidth="1" min="3" max="3"/>
    <col width="14" customWidth="1" min="4" max="4"/>
    <col width="18" customWidth="1" min="5" max="5"/>
    <col width="75" customWidth="1" min="6" max="6"/>
  </cols>
  <sheetData>
    <row r="1">
      <c r="A1" s="1" t="inlineStr">
        <is>
          <t>Interest &amp; Dividends — Schedule B / Form 1040 lines 2b, 3a, 3b</t>
        </is>
      </c>
    </row>
    <row r="2">
      <c r="A2" s="2" t="inlineStr">
        <is>
          <t>Alex Testman  |  SSN XXX-XX-4321  |  Tax year 2025  |  Prepared by Jane Sample, CPA, Sample &amp; Co CPAs</t>
        </is>
      </c>
    </row>
    <row r="3">
      <c r="A3" s="6" t="inlineStr">
        <is>
          <t>Payer</t>
        </is>
      </c>
      <c r="B3" s="6" t="inlineStr">
        <is>
          <t>Form / TIN</t>
        </is>
      </c>
      <c r="C3" s="6" t="inlineStr">
        <is>
          <t>Box</t>
        </is>
      </c>
      <c r="D3" s="6" t="inlineStr">
        <is>
          <t>2025 amount</t>
        </is>
      </c>
      <c r="E3" s="6" t="inlineStr">
        <is>
          <t>2024 Sch B (PY-Proof)</t>
        </is>
      </c>
      <c r="F3" s="6" t="inlineStr">
        <is>
          <t>Status / note</t>
        </is>
      </c>
    </row>
    <row r="4">
      <c r="A4" s="2" t="inlineStr">
        <is>
          <t>First Sample Bank</t>
        </is>
      </c>
      <c r="B4" s="4" t="inlineStr">
        <is>
          <t>1099-INT  59-7654321</t>
        </is>
      </c>
      <c r="C4" s="2" t="inlineStr">
        <is>
          <t>1 Interest</t>
        </is>
      </c>
      <c r="D4" s="18" t="n">
        <v>1388.42</v>
      </c>
      <c r="E4" s="9">
        <f>'PY-Proof'!C21</f>
        <v/>
      </c>
      <c r="F4" s="2" t="inlineStr">
        <is>
          <t>Received ✓ — continuing payer; +148 vs PY.</t>
        </is>
      </c>
    </row>
    <row r="5">
      <c r="A5" s="2" t="inlineStr">
        <is>
          <t>First Sample Bank</t>
        </is>
      </c>
      <c r="C5" s="2" t="inlineStr">
        <is>
          <t>4 Fed w/h</t>
        </is>
      </c>
      <c r="D5" s="18" t="n">
        <v>0</v>
      </c>
    </row>
    <row r="6">
      <c r="A6" s="2" t="inlineStr">
        <is>
          <t>Sample Brokerage</t>
        </is>
      </c>
      <c r="B6" s="2" t="inlineStr">
        <is>
          <t>1099-DIV (not received)</t>
        </is>
      </c>
      <c r="C6" s="2" t="inlineStr">
        <is>
          <t>1a Ordinary div</t>
        </is>
      </c>
      <c r="D6" s="21" t="n">
        <v>0</v>
      </c>
      <c r="E6" s="9">
        <f>'PY-Proof'!C22</f>
        <v/>
      </c>
      <c r="F6" s="7" t="inlineStr">
        <is>
          <t>MISSING — PY payer (2,100). Placeholder 0 pending 2025 consolidated 1099. Open Item 1.</t>
        </is>
      </c>
    </row>
    <row r="7">
      <c r="A7" s="2" t="inlineStr">
        <is>
          <t>Sample Brokerage</t>
        </is>
      </c>
      <c r="C7" s="2" t="inlineStr">
        <is>
          <t>1b Qualified div</t>
        </is>
      </c>
      <c r="D7" s="21" t="n">
        <v>0</v>
      </c>
    </row>
    <row r="8">
      <c r="A8" s="2" t="inlineStr">
        <is>
          <t>Sample Brokerage</t>
        </is>
      </c>
      <c r="C8" s="2" t="inlineStr">
        <is>
          <t>2a Cap gain dist</t>
        </is>
      </c>
      <c r="D8" s="21" t="n">
        <v>0</v>
      </c>
      <c r="F8" s="2" t="inlineStr">
        <is>
          <t>Flows to CapGains-4797 Sch D line 13.</t>
        </is>
      </c>
    </row>
    <row r="9">
      <c r="A9" s="2" t="inlineStr">
        <is>
          <t>Sample Brokerage</t>
        </is>
      </c>
      <c r="C9" s="2" t="inlineStr">
        <is>
          <t>7 Foreign tax</t>
        </is>
      </c>
      <c r="D9" s="21" t="n">
        <v>0</v>
      </c>
    </row>
    <row r="10">
      <c r="A10" s="2" t="inlineStr">
        <is>
          <t>Sample Brokerage</t>
        </is>
      </c>
      <c r="C10" s="2" t="inlineStr">
        <is>
          <t>4 Fed w/h</t>
        </is>
      </c>
      <c r="D10" s="21" t="n">
        <v>0</v>
      </c>
    </row>
    <row r="12">
      <c r="A12" s="3" t="inlineStr">
        <is>
          <t>Return</t>
        </is>
      </c>
    </row>
    <row r="13">
      <c r="A13" s="2" t="inlineStr">
        <is>
          <t>Line 2b taxable interest</t>
        </is>
      </c>
      <c r="D13" s="20">
        <f>ROUND(D4,0)</f>
        <v/>
      </c>
      <c r="E13" s="9">
        <f>'PY-Proof'!C5</f>
        <v/>
      </c>
      <c r="F13" s="2">
        <f>IF(ROUND(D4,0)=1388,"✓ TIES to 1099-INT box 1 1,388.42","✗ CHECK")</f>
        <v/>
      </c>
    </row>
    <row r="14">
      <c r="A14" s="2" t="inlineStr">
        <is>
          <t>Line 3a qualified dividends</t>
        </is>
      </c>
      <c r="D14" s="13">
        <f>ROUND(D7,0)</f>
        <v/>
      </c>
    </row>
    <row r="15">
      <c r="A15" s="2" t="inlineStr">
        <is>
          <t>Line 3b ordinary dividends</t>
        </is>
      </c>
      <c r="D15" s="20">
        <f>ROUND(D6,0)</f>
        <v/>
      </c>
      <c r="E15" s="9">
        <f>'PY-Proof'!C6</f>
        <v/>
      </c>
    </row>
    <row r="16">
      <c r="A16" s="2" t="inlineStr">
        <is>
          <t>Withholding from 1099s (to 25b)</t>
        </is>
      </c>
      <c r="D16" s="13">
        <f>ROUND(D5+D10,0)</f>
        <v/>
      </c>
    </row>
    <row r="17">
      <c r="A17" s="2" t="inlineStr">
        <is>
          <t>Sch B required? (interest or dividends &gt; $1,500)</t>
        </is>
      </c>
      <c r="D17" s="2">
        <f>IF(OR(D13&gt;1500,D15&gt;1500),"Yes","No")</f>
        <v/>
      </c>
      <c r="F17" s="2" t="inlineStr">
        <is>
          <t>Interest 1,388 alone is under $1,500; recheck when brokerage dividends arrive.</t>
        </is>
      </c>
    </row>
    <row r="18">
      <c r="A18" s="2" t="inlineStr">
        <is>
          <t>PY Sch B payers accounted for</t>
        </is>
      </c>
      <c r="F18" s="2">
        <f>IF(COUNTA(A4,A6)=2,"✓ 2 of 2 PY payers listed (1 received, 1 PBC)","✗ CHECK")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44" customWidth="1" min="2" max="2"/>
    <col width="13" customWidth="1" min="3" max="3"/>
    <col width="13" customWidth="1" min="4" max="4"/>
    <col width="13" customWidth="1" min="5" max="5"/>
    <col width="13" customWidth="1" min="6" max="6"/>
    <col width="14" customWidth="1" min="7" max="7"/>
    <col width="80" customWidth="1" min="8" max="8"/>
  </cols>
  <sheetData>
    <row r="1">
      <c r="A1" s="1" t="inlineStr">
        <is>
          <t>Capital Gains — Form 8949 by box / Schedule D (totals by category only)</t>
        </is>
      </c>
    </row>
    <row r="2">
      <c r="A2" s="2" t="inlineStr">
        <is>
          <t>Alex Testman  |  SSN XXX-XX-4321  |  Tax year 2025  |  Prepared by Jane Sample, CPA, Sample &amp; Co CPAs</t>
        </is>
      </c>
    </row>
    <row r="3">
      <c r="A3" s="6" t="inlineStr">
        <is>
          <t>Account / source</t>
        </is>
      </c>
      <c r="B3" s="6" t="inlineStr">
        <is>
          <t>8949 box</t>
        </is>
      </c>
      <c r="C3" s="6" t="inlineStr">
        <is>
          <t>Proceeds</t>
        </is>
      </c>
      <c r="D3" s="6" t="inlineStr">
        <is>
          <t>Cost basis</t>
        </is>
      </c>
      <c r="E3" s="6" t="inlineStr">
        <is>
          <t>Wash sale (1g)</t>
        </is>
      </c>
      <c r="F3" s="6" t="inlineStr">
        <is>
          <t>Mkt disc (1f)</t>
        </is>
      </c>
      <c r="G3" s="6" t="inlineStr">
        <is>
          <t>Gain / (loss)</t>
        </is>
      </c>
      <c r="H3" s="6" t="inlineStr">
        <is>
          <t>Note</t>
        </is>
      </c>
    </row>
    <row r="4">
      <c r="A4" s="2" t="inlineStr">
        <is>
          <t>Sample Brokerage 2025 1099-B</t>
        </is>
      </c>
      <c r="B4" s="2" t="inlineStr">
        <is>
          <t>A ST basis reported</t>
        </is>
      </c>
      <c r="C4" s="21" t="n">
        <v>0</v>
      </c>
      <c r="D4" s="21" t="n">
        <v>0</v>
      </c>
      <c r="E4" s="21" t="n">
        <v>0</v>
      </c>
      <c r="F4" s="21" t="n">
        <v>0</v>
      </c>
      <c r="G4" s="19">
        <f>C4-D4+E4</f>
        <v/>
      </c>
      <c r="H4" s="7" t="inlineStr">
        <is>
          <t>PBC — Open Item 1. Account closed Mar-2025: liquidating sales (or in-kind transfer) expected.</t>
        </is>
      </c>
    </row>
    <row r="5">
      <c r="A5" s="2" t="inlineStr">
        <is>
          <t>Sample Brokerage 2025 1099-B</t>
        </is>
      </c>
      <c r="B5" s="2" t="inlineStr">
        <is>
          <t>B ST basis not reported</t>
        </is>
      </c>
      <c r="C5" s="21" t="n">
        <v>0</v>
      </c>
      <c r="D5" s="21" t="n">
        <v>0</v>
      </c>
      <c r="E5" s="21" t="n">
        <v>0</v>
      </c>
      <c r="F5" s="21" t="n">
        <v>0</v>
      </c>
      <c r="G5" s="19">
        <f>C5-D5+E5</f>
        <v/>
      </c>
    </row>
    <row r="6">
      <c r="A6" s="2" t="inlineStr">
        <is>
          <t>Sample Brokerage 2025 1099-B</t>
        </is>
      </c>
      <c r="B6" s="2" t="inlineStr">
        <is>
          <t>C ST not on 1099-B</t>
        </is>
      </c>
      <c r="C6" s="21" t="n">
        <v>0</v>
      </c>
      <c r="D6" s="21" t="n">
        <v>0</v>
      </c>
      <c r="E6" s="21" t="n">
        <v>0</v>
      </c>
      <c r="F6" s="21" t="n">
        <v>0</v>
      </c>
      <c r="G6" s="19">
        <f>C6-D6+E6</f>
        <v/>
      </c>
    </row>
    <row r="7">
      <c r="A7" s="2" t="inlineStr">
        <is>
          <t>Sample Brokerage 2025 1099-B</t>
        </is>
      </c>
      <c r="B7" s="2" t="inlineStr">
        <is>
          <t>D LT basis reported</t>
        </is>
      </c>
      <c r="C7" s="21" t="n">
        <v>0</v>
      </c>
      <c r="D7" s="21" t="n">
        <v>0</v>
      </c>
      <c r="E7" s="21" t="n">
        <v>0</v>
      </c>
      <c r="F7" s="21" t="n">
        <v>0</v>
      </c>
      <c r="G7" s="19">
        <f>C7-D7+E7</f>
        <v/>
      </c>
    </row>
    <row r="8">
      <c r="A8" s="2" t="inlineStr">
        <is>
          <t>Sample Brokerage 2025 1099-B</t>
        </is>
      </c>
      <c r="B8" s="2" t="inlineStr">
        <is>
          <t>E LT basis not reported</t>
        </is>
      </c>
      <c r="C8" s="21" t="n">
        <v>0</v>
      </c>
      <c r="D8" s="21" t="n">
        <v>0</v>
      </c>
      <c r="E8" s="21" t="n">
        <v>0</v>
      </c>
      <c r="F8" s="21" t="n">
        <v>0</v>
      </c>
      <c r="G8" s="19">
        <f>C8-D8+E8</f>
        <v/>
      </c>
    </row>
    <row r="9">
      <c r="A9" s="2" t="inlineStr">
        <is>
          <t>Sample Brokerage 2025 1099-B</t>
        </is>
      </c>
      <c r="B9" s="2" t="inlineStr">
        <is>
          <t>F LT not on 1099-B</t>
        </is>
      </c>
      <c r="C9" s="21" t="n">
        <v>0</v>
      </c>
      <c r="D9" s="21" t="n">
        <v>0</v>
      </c>
      <c r="E9" s="21" t="n">
        <v>0</v>
      </c>
      <c r="F9" s="21" t="n">
        <v>0</v>
      </c>
      <c r="G9" s="19">
        <f>C9-D9+E9</f>
        <v/>
      </c>
    </row>
    <row r="10">
      <c r="A10" s="2" t="inlineStr">
        <is>
          <t>Sample Brokerage</t>
        </is>
      </c>
      <c r="B10" s="2" t="inlineStr">
        <is>
          <t>Cap gain distributions (1099-DIV 2a)</t>
        </is>
      </c>
      <c r="G10" s="22">
        <f>'Interest-Div'!D8</f>
        <v/>
      </c>
    </row>
    <row r="11">
      <c r="A11" s="2" t="inlineStr">
        <is>
          <t>Sample Brokerage</t>
        </is>
      </c>
      <c r="B11" s="2" t="inlineStr">
        <is>
          <t>§1256 contracts (6781)</t>
        </is>
      </c>
      <c r="G11" s="21" t="n">
        <v>0</v>
      </c>
    </row>
    <row r="13">
      <c r="A13" s="3" t="inlineStr">
        <is>
          <t>Schedule D</t>
        </is>
      </c>
    </row>
    <row r="14">
      <c r="B14" s="2" t="inlineStr">
        <is>
          <t>Net short-term (boxes A-C; 60% of §1256)</t>
        </is>
      </c>
      <c r="G14" s="13">
        <f>SUM(G4:G6)+G11*0.4</f>
        <v/>
      </c>
      <c r="H14" s="2" t="inlineStr">
        <is>
          <t>§1256: 40% ST / 60% LT.</t>
        </is>
      </c>
    </row>
    <row r="15">
      <c r="B15" s="2" t="inlineStr">
        <is>
          <t>Net long-term (boxes D-F; cap gain dist; 60% of §1256)</t>
        </is>
      </c>
      <c r="G15" s="13">
        <f>SUM(G7:G9)+G10+G11*0.6</f>
        <v/>
      </c>
    </row>
    <row r="16">
      <c r="B16" s="2" t="inlineStr">
        <is>
          <t>Capital loss carryover from 2024 (PY-Proof)</t>
        </is>
      </c>
      <c r="G16" s="9">
        <f>'PY-Proof'!C25</f>
        <v/>
      </c>
      <c r="H16" s="2" t="inlineStr">
        <is>
          <t>Character (ST/LT) not shown on PY page — irrelevant while 2025 activity is nil; see Issues.</t>
        </is>
      </c>
    </row>
    <row r="17">
      <c r="B17" s="2" t="inlineStr">
        <is>
          <t>Net capital gain / (loss)</t>
        </is>
      </c>
      <c r="G17" s="23">
        <f>SUM(G14:G16)</f>
        <v/>
      </c>
    </row>
    <row r="18">
      <c r="B18" s="2" t="inlineStr">
        <is>
          <t>Form 1040 line 7 (loss limited to $3,000)</t>
        </is>
      </c>
      <c r="G18" s="20">
        <f>MAX(G17,-3000)</f>
        <v/>
      </c>
      <c r="H18" s="2">
        <f>IF(G18=-3000,"✓ Line 7 (3,000) — same as PY; c/f absorbs up to 5,500 of 2025 gains with no AGI change","✗ CHECK")</f>
        <v/>
      </c>
    </row>
    <row r="19">
      <c r="B19" s="2" t="inlineStr">
        <is>
          <t>Capital loss carryforward to 2026</t>
        </is>
      </c>
      <c r="G19" s="13">
        <f>MIN(0,G17-G18)</f>
        <v/>
      </c>
      <c r="H19" s="2">
        <f>IF(G16-G18=G19,"✓ Roll: (8,500) in - (3,000) used = (5,500) out","✗ CHECK")</f>
        <v/>
      </c>
    </row>
    <row r="21">
      <c r="B21" s="2" t="inlineStr">
        <is>
          <t>Form 4797 — no business property sales in file; n/a.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2" customWidth="1" min="1" max="1"/>
    <col width="14" customWidth="1" min="2" max="2"/>
    <col width="70" customWidth="1" min="3" max="3"/>
  </cols>
  <sheetData>
    <row r="1">
      <c r="A1" s="1" t="inlineStr">
        <is>
          <t>Standard vs Itemized deduction — Form 1040 line 12; Schedule 1-A (line 13b)</t>
        </is>
      </c>
    </row>
    <row r="2">
      <c r="A2" s="2" t="inlineStr">
        <is>
          <t>Alex Testman  |  SSN XXX-XX-4321  |  Tax year 2025  |  Prepared by Jane Sample, CPA, Sample &amp; Co CPAs</t>
        </is>
      </c>
    </row>
    <row r="3">
      <c r="A3" s="6" t="inlineStr">
        <is>
          <t>Item</t>
        </is>
      </c>
      <c r="B3" s="6" t="inlineStr">
        <is>
          <t>Amount</t>
        </is>
      </c>
      <c r="C3" s="6" t="inlineStr">
        <is>
          <t>Source / note</t>
        </is>
      </c>
    </row>
    <row r="4">
      <c r="A4" s="2" t="inlineStr">
        <is>
          <t>2025 standard deduction — single (OBBBA §63(c))</t>
        </is>
      </c>
      <c r="B4" s="9">
        <f>Cover!C30</f>
        <v/>
      </c>
    </row>
    <row r="5">
      <c r="A5" s="2" t="inlineStr">
        <is>
          <t>Additional standard deduction age 65+/blind</t>
        </is>
      </c>
      <c r="B5" s="24" t="n">
        <v>0</v>
      </c>
      <c r="C5" s="2" t="inlineStr">
        <is>
          <t>Assumed 0 — DOB not in file; organizer requested (Open Item 2).</t>
        </is>
      </c>
    </row>
    <row r="6">
      <c r="A6" s="2" t="inlineStr">
        <is>
          <t>Total standard deduction</t>
        </is>
      </c>
      <c r="B6" s="23">
        <f>B4+B5</f>
        <v/>
      </c>
    </row>
    <row r="8">
      <c r="A8" s="3" t="inlineStr">
        <is>
          <t>Itemized (Schedule A) build</t>
        </is>
      </c>
    </row>
    <row r="9">
      <c r="A9" s="2" t="inlineStr">
        <is>
          <t>State/local taxes (FL: no income tax; no RE-tax or sales-tax support in file)</t>
        </is>
      </c>
      <c r="B9" s="8" t="n">
        <v>0</v>
      </c>
    </row>
    <row r="10">
      <c r="A10" s="2" t="inlineStr">
        <is>
          <t>SALT cap 2025 (OBBBA, MAGI &lt; 500k)</t>
        </is>
      </c>
      <c r="B10" s="9">
        <f>Cover!C38</f>
        <v/>
      </c>
    </row>
    <row r="11">
      <c r="A11" s="2" t="inlineStr">
        <is>
          <t>SALT allowed</t>
        </is>
      </c>
      <c r="B11" s="13">
        <f>MIN(B9,B10)</f>
        <v/>
      </c>
    </row>
    <row r="12">
      <c r="A12" s="2" t="inlineStr">
        <is>
          <t>Mortgage interest (no 1098 in file; none in PY)</t>
        </is>
      </c>
      <c r="B12" s="8" t="n">
        <v>0</v>
      </c>
    </row>
    <row r="13">
      <c r="A13" s="2" t="inlineStr">
        <is>
          <t>Charitable (none provided)</t>
        </is>
      </c>
      <c r="B13" s="8" t="n">
        <v>0</v>
      </c>
    </row>
    <row r="14">
      <c r="A14" s="2" t="inlineStr">
        <is>
          <t>Total itemized</t>
        </is>
      </c>
      <c r="B14" s="23">
        <f>B11+B12+B13</f>
        <v/>
      </c>
    </row>
    <row r="16">
      <c r="A16" s="2" t="inlineStr">
        <is>
          <t>Deduction used — line 12 (greater of)</t>
        </is>
      </c>
      <c r="B16" s="20">
        <f>MAX(B6,B14)</f>
        <v/>
      </c>
      <c r="C16" s="2">
        <f>IF(B6&gt;=B14,"✓ Standard deduction (itemized would be "&amp;TEXT(B14,"#,##0")&amp;")","✓ Itemized")</f>
        <v/>
      </c>
    </row>
    <row r="18">
      <c r="A18" s="2" t="inlineStr">
        <is>
          <t>Schedule 1-A senior deduction (§151(f), 65+)</t>
        </is>
      </c>
      <c r="B18" s="24" t="n">
        <v>0</v>
      </c>
    </row>
    <row r="19">
      <c r="A19" s="2" t="inlineStr">
        <is>
          <t xml:space="preserve">  Informational: amount if 65+ (6,000 less 6% of MAGI over 75,000)</t>
        </is>
      </c>
      <c r="B19" s="13">
        <f>MAX(0,Cover!C32-0.06*MAX(0,'Tax-Cr'!B10-Cover!C39))</f>
        <v/>
      </c>
    </row>
    <row r="20">
      <c r="A20" s="2" t="inlineStr">
        <is>
          <t>Schedule 1-A tips / overtime / car-loan interest — no W-2 box 12 TT/TP or 14 detail; n/a</t>
        </is>
      </c>
      <c r="B20" s="8" t="n">
        <v>0</v>
      </c>
    </row>
    <row r="21">
      <c r="A21" s="2" t="inlineStr">
        <is>
          <t>Total Schedule 1-A (line 13b)</t>
        </is>
      </c>
      <c r="B21" s="23">
        <f>B18+B20</f>
        <v/>
      </c>
    </row>
    <row r="22">
      <c r="A22" s="2" t="inlineStr">
        <is>
          <t>PY 2024 deduction (PY-Proof)</t>
        </is>
      </c>
      <c r="B22" s="9">
        <f>'PY-Proof'!C10</f>
        <v/>
      </c>
      <c r="C22" s="2">
        <f>IF(B4-B22=1150,"✓ 2025 std 15,750 vs 2024 14,600 (+1,150)","✗ CHECK")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14" customWidth="1" min="2" max="2"/>
    <col width="95" customWidth="1" min="3" max="3"/>
  </cols>
  <sheetData>
    <row r="1">
      <c r="A1" s="1" t="inlineStr">
        <is>
          <t>Income, AGI, Taxable income, Tax &amp; Credits — Form 1040 lines 1-24 (2025)</t>
        </is>
      </c>
    </row>
    <row r="2">
      <c r="A2" s="2" t="inlineStr">
        <is>
          <t>Alex Testman  |  SSN XXX-XX-4321  |  Tax year 2025  |  Prepared by Jane Sample, CPA, Sample &amp; Co CPAs</t>
        </is>
      </c>
    </row>
    <row r="3">
      <c r="A3" s="6" t="inlineStr">
        <is>
          <t>Line</t>
        </is>
      </c>
      <c r="B3" s="6" t="inlineStr">
        <is>
          <t>Amount</t>
        </is>
      </c>
      <c r="C3" s="6" t="inlineStr">
        <is>
          <t>Source / check</t>
        </is>
      </c>
    </row>
    <row r="4">
      <c r="A4" s="2" t="inlineStr">
        <is>
          <t>1a/1z Wages</t>
        </is>
      </c>
      <c r="B4" s="9">
        <f>Wages!C22</f>
        <v/>
      </c>
    </row>
    <row r="5">
      <c r="A5" s="2" t="inlineStr">
        <is>
          <t>2b Taxable interest</t>
        </is>
      </c>
      <c r="B5" s="9">
        <f>'Interest-Div'!D13</f>
        <v/>
      </c>
    </row>
    <row r="6">
      <c r="A6" s="2" t="inlineStr">
        <is>
          <t>3b Ordinary dividends</t>
        </is>
      </c>
      <c r="B6" s="9">
        <f>'Interest-Div'!D15</f>
        <v/>
      </c>
    </row>
    <row r="7">
      <c r="A7" s="2" t="inlineStr">
        <is>
          <t>7 Capital gain/(loss)</t>
        </is>
      </c>
      <c r="B7" s="9">
        <f>'CapGains-4797'!G18</f>
        <v/>
      </c>
    </row>
    <row r="8">
      <c r="A8" s="2" t="inlineStr">
        <is>
          <t>8 Other income (Sch 1) — none in file</t>
        </is>
      </c>
      <c r="B8" s="8" t="n">
        <v>0</v>
      </c>
    </row>
    <row r="9">
      <c r="A9" s="2" t="inlineStr">
        <is>
          <t>9 Total income</t>
        </is>
      </c>
      <c r="B9" s="23">
        <f>SUM(B4:B8)</f>
        <v/>
      </c>
      <c r="C9" s="2">
        <f>IF(B9=Wages!C22+'Interest-Div'!D13+'Interest-Div'!D15+'CapGains-4797'!G18,"✓ TIES total income to source tabs","✗ CHECK")</f>
        <v/>
      </c>
    </row>
    <row r="10">
      <c r="A10" s="2" t="inlineStr">
        <is>
          <t>11 AGI (10 adjustments: none — no IRA/HSA/SE items)</t>
        </is>
      </c>
      <c r="B10" s="20">
        <f>B9-0</f>
        <v/>
      </c>
    </row>
    <row r="11">
      <c r="A11" s="2" t="inlineStr">
        <is>
          <t>12 Deduction</t>
        </is>
      </c>
      <c r="B11" s="9">
        <f>'Itemized-Std'!B16</f>
        <v/>
      </c>
    </row>
    <row r="12">
      <c r="A12" s="2" t="inlineStr">
        <is>
          <t>13a QBI deduction — no QBI activities</t>
        </is>
      </c>
      <c r="B12" s="8" t="n">
        <v>0</v>
      </c>
    </row>
    <row r="13">
      <c r="A13" s="2" t="inlineStr">
        <is>
          <t>13b Schedule 1-A deductions</t>
        </is>
      </c>
      <c r="B13" s="9">
        <f>'Itemized-Std'!B21</f>
        <v/>
      </c>
    </row>
    <row r="14">
      <c r="A14" s="2" t="inlineStr">
        <is>
          <t>15 Taxable income</t>
        </is>
      </c>
      <c r="B14" s="23">
        <f>MAX(0,B10-B11-B12-B13)</f>
        <v/>
      </c>
      <c r="C14" s="2">
        <f>IF(B14=B10-B11-B12-B13,"✓ TIES AGI less deductions","✗ CHECK")</f>
        <v/>
      </c>
    </row>
    <row r="16">
      <c r="A16" s="2" t="inlineStr">
        <is>
          <t>Preferential income (QD + net LTCG, limited)</t>
        </is>
      </c>
      <c r="B16" s="13">
        <f>MIN(B14,'Interest-Div'!D14+MAX(0,MIN('CapGains-4797'!G15,'CapGains-4797'!G17)))</f>
        <v/>
      </c>
    </row>
    <row r="17">
      <c r="A17" s="2" t="inlineStr">
        <is>
          <t>Tax-table midpoint (TI &lt; 100,000)</t>
        </is>
      </c>
      <c r="B17" s="13">
        <f>IF(B14&lt;100000,FLOOR(B14,50)+25,B14)</f>
        <v/>
      </c>
    </row>
    <row r="18">
      <c r="A18" s="2" t="inlineStr">
        <is>
          <t>Ordinary tax — 2025 single brackets (table)</t>
        </is>
      </c>
      <c r="B18" s="13">
        <f>ROUND(IF(B17&lt;=11925,B17*0.1,IF(B17&lt;=48475,1192.5+(B17-11925)*0.12,IF(B17&lt;=103350,5578.5+(B17-48475)*0.22,IF(B17&lt;=197300,17651+(B17-103350)*0.24,IF(B17&lt;=250525,40199+(B17-197300)*0.32,IF(B17&lt;=626350,57231+(B17-250525)*0.35,188769.75+(B17-626350)*0.37)))))),0)</f>
        <v/>
      </c>
      <c r="C18" s="2">
        <f>IF(ABS(B18-ROUND(IF(B14&lt;=11925,B14*0.1,IF(B14&lt;=48475,1192.5+(B14-11925)*0.12,IF(B14&lt;=103350,5578.5+(B14-48475)*0.22,IF(B14&lt;=197300,17651+(B14-103350)*0.24,IF(B14&lt;=250525,40199+(B14-197300)*0.32,IF(B14&lt;=626350,57231+(B14-250525)*0.35,188769.75+(B14-626350)*0.37)))))),0))&lt;10,"✓ Table tax within $10 of exact-rate tax","✗ CHECK")</f>
        <v/>
      </c>
    </row>
    <row r="19">
      <c r="A19" s="2" t="inlineStr">
        <is>
          <t>QD/CG worksheet tax (used only if preferential income &gt; 0)</t>
        </is>
      </c>
      <c r="B19" s="13">
        <f>ROUND(IF((B14-B16)&lt;=11925,(B14-B16)*0.1,IF((B14-B16)&lt;=48475,1192.5+((B14-B16)-11925)*0.12,IF((B14-B16)&lt;=103350,5578.5+((B14-B16)-48475)*0.22,IF((B14-B16)&lt;=197300,17651+((B14-B16)-103350)*0.24,IF((B14-B16)&lt;=250525,40199+((B14-B16)-197300)*0.32,IF((B14-B16)&lt;=626350,57231+((B14-B16)-250525)*0.35,188769.75+((B14-B16)-626350)*0.37))))))+0.15*MAX(0,B16-MAX(0,MIN(B14,48350)-(B14-B16))),0)</f>
        <v/>
      </c>
    </row>
    <row r="20">
      <c r="A20" s="2" t="inlineStr">
        <is>
          <t>16 Tax</t>
        </is>
      </c>
      <c r="B20" s="23">
        <f>IF(B16&gt;0,MIN(B18,B19),B18)</f>
        <v/>
      </c>
      <c r="C20" s="2" t="inlineStr">
        <is>
          <t>Rates: 10/12/22/24/32/35/37% at 11,925/48,475/103,350/197,300/250,525/626,350 (Rev. Proc. 2024-40). 0% QD/LTCG to 48,350.</t>
        </is>
      </c>
    </row>
    <row r="21">
      <c r="A21" s="2" t="inlineStr">
        <is>
          <t>19-21 Credits (no dependents, education, energy docs)</t>
        </is>
      </c>
      <c r="B21" s="8" t="n">
        <v>0</v>
      </c>
    </row>
    <row r="22">
      <c r="A22" s="2" t="inlineStr">
        <is>
          <t>23 Other taxes (Other-Taxes)</t>
        </is>
      </c>
      <c r="B22" s="9">
        <f>'Other-Taxes'!B23</f>
        <v/>
      </c>
    </row>
    <row r="23">
      <c r="A23" s="2" t="inlineStr">
        <is>
          <t>24 Total tax</t>
        </is>
      </c>
      <c r="B23" s="20">
        <f>B20-B21+B22</f>
        <v/>
      </c>
    </row>
    <row r="25">
      <c r="A25" s="2" t="inlineStr">
        <is>
          <t>Marginal rate (for Open Item exposure)</t>
        </is>
      </c>
      <c r="B25" s="16">
        <f>IF(B14&lt;=48475,0.12,IF(B14&lt;=103350,0.22,0.24))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14" customWidth="1" min="2" max="2"/>
    <col width="60" customWidth="1" min="3" max="3"/>
  </cols>
  <sheetData>
    <row r="1">
      <c r="A1" s="1" t="inlineStr">
        <is>
          <t>Other taxes — Form 8959 (Additional Medicare) and Form 8960 (NIIT)</t>
        </is>
      </c>
    </row>
    <row r="2">
      <c r="A2" s="2" t="inlineStr">
        <is>
          <t>Alex Testman  |  SSN XXX-XX-4321  |  Tax year 2025  |  Prepared by Jane Sample, CPA, Sample &amp; Co CPAs</t>
        </is>
      </c>
    </row>
    <row r="3">
      <c r="A3" s="6" t="inlineStr">
        <is>
          <t>Item</t>
        </is>
      </c>
      <c r="B3" s="6" t="inlineStr">
        <is>
          <t>Amount</t>
        </is>
      </c>
      <c r="C3" s="6" t="inlineStr">
        <is>
          <t>Note</t>
        </is>
      </c>
    </row>
    <row r="4">
      <c r="A4" s="2" t="inlineStr">
        <is>
          <t>8959 L1 Medicare wages (W-2 box 5)</t>
        </is>
      </c>
      <c r="B4" s="9">
        <f>Wages!C9</f>
        <v/>
      </c>
    </row>
    <row r="5">
      <c r="A5" s="2" t="inlineStr">
        <is>
          <t>Threshold — single</t>
        </is>
      </c>
      <c r="B5" s="9">
        <f>Cover!C36</f>
        <v/>
      </c>
    </row>
    <row r="6">
      <c r="A6" s="2" t="inlineStr">
        <is>
          <t>Additional Medicare Tax 0.9%</t>
        </is>
      </c>
      <c r="B6" s="13">
        <f>ROUND(MAX(0,B4-B5)*0.009,0)</f>
        <v/>
      </c>
    </row>
    <row r="7">
      <c r="A7" s="2" t="inlineStr">
        <is>
          <t>Medicare tax withheld (box 6)</t>
        </is>
      </c>
      <c r="B7" s="22">
        <f>Wages!C10</f>
        <v/>
      </c>
    </row>
    <row r="8">
      <c r="A8" s="2" t="inlineStr">
        <is>
          <t>Regular 1.45% on box 5</t>
        </is>
      </c>
      <c r="B8" s="19">
        <f>ROUND(B4*0.0145,2)</f>
        <v/>
      </c>
    </row>
    <row r="9">
      <c r="A9" s="2" t="inlineStr">
        <is>
          <t>8959 Part V excess w/h -&gt; 1040 line 25c</t>
        </is>
      </c>
      <c r="B9" s="13">
        <f>MAX(0,ROUND(B7-B8,0))</f>
        <v/>
      </c>
      <c r="C9" s="2">
        <f>IF(B9=0,"✓ No Add'l Medicare withheld; 25c = 0","✗ CHECK")</f>
        <v/>
      </c>
    </row>
    <row r="11">
      <c r="A11" s="3" t="inlineStr">
        <is>
          <t>8960 Net investment income</t>
        </is>
      </c>
    </row>
    <row r="12">
      <c r="A12" s="2" t="inlineStr">
        <is>
          <t>Taxable interest</t>
        </is>
      </c>
      <c r="B12" s="9">
        <f>'Interest-Div'!D13</f>
        <v/>
      </c>
    </row>
    <row r="13">
      <c r="A13" s="2" t="inlineStr">
        <is>
          <t>Ordinary dividends</t>
        </is>
      </c>
      <c r="B13" s="9">
        <f>'Interest-Div'!D15</f>
        <v/>
      </c>
    </row>
    <row r="14">
      <c r="A14" s="2" t="inlineStr">
        <is>
          <t>Net gain (not less than zero for §1411)</t>
        </is>
      </c>
      <c r="B14" s="13">
        <f>MAX(0,'CapGains-4797'!G17)</f>
        <v/>
      </c>
    </row>
    <row r="15">
      <c r="A15" s="2" t="inlineStr">
        <is>
          <t>Net investment income</t>
        </is>
      </c>
      <c r="B15" s="23">
        <f>SUM(B12:B14)</f>
        <v/>
      </c>
    </row>
    <row r="16">
      <c r="A16" s="2" t="inlineStr">
        <is>
          <t>MAGI</t>
        </is>
      </c>
      <c r="B16" s="9">
        <f>'Tax-Cr'!B10</f>
        <v/>
      </c>
    </row>
    <row r="17">
      <c r="A17" s="2" t="inlineStr">
        <is>
          <t>Threshold — single</t>
        </is>
      </c>
      <c r="B17" s="9">
        <f>Cover!C35</f>
        <v/>
      </c>
    </row>
    <row r="18">
      <c r="A18" s="2" t="inlineStr">
        <is>
          <t>MAGI over threshold</t>
        </is>
      </c>
      <c r="B18" s="13">
        <f>MAX(0,B16-B17)</f>
        <v/>
      </c>
    </row>
    <row r="19">
      <c r="A19" s="2" t="inlineStr">
        <is>
          <t>NIIT 3.8%</t>
        </is>
      </c>
      <c r="B19" s="20">
        <f>ROUND(0.038*MIN(B15,B18),0)</f>
        <v/>
      </c>
      <c r="C19" s="2">
        <f>IF(B19=0,"✓ NIIT n/a — MAGI under 200,000","✗ CHECK")</f>
        <v/>
      </c>
    </row>
    <row r="21">
      <c r="A21" s="2" t="inlineStr">
        <is>
          <t>Self-employment tax — no SE income</t>
        </is>
      </c>
      <c r="B21" s="8" t="n">
        <v>0</v>
      </c>
    </row>
    <row r="23">
      <c r="A23" s="2" t="inlineStr">
        <is>
          <t>Total other taxes (Sch 2) -&gt; line 23</t>
        </is>
      </c>
      <c r="B23" s="20">
        <f>B6+B19+B21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2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80" customWidth="1" min="3" max="3"/>
  </cols>
  <sheetData>
    <row r="1">
      <c r="A1" s="1" t="inlineStr">
        <is>
          <t>Payments, estimates and §6654 safe harbor</t>
        </is>
      </c>
    </row>
    <row r="2">
      <c r="A2" s="2" t="inlineStr">
        <is>
          <t>Alex Testman  |  SSN XXX-XX-4321  |  Tax year 2025  |  Prepared by Jane Sample, CPA, Sample &amp; Co CPAs</t>
        </is>
      </c>
    </row>
    <row r="3">
      <c r="A3" s="6" t="inlineStr">
        <is>
          <t>Item</t>
        </is>
      </c>
      <c r="B3" s="6" t="inlineStr">
        <is>
          <t>Amount</t>
        </is>
      </c>
      <c r="C3" s="6" t="inlineStr">
        <is>
          <t>Date / note</t>
        </is>
      </c>
    </row>
    <row r="4">
      <c r="A4" s="2" t="inlineStr">
        <is>
          <t>2024 overpayment applied to 2025 (PY line 36)</t>
        </is>
      </c>
      <c r="B4" s="8">
        <f>'PY-Proof'!C18</f>
        <v/>
      </c>
      <c r="C4" s="2" t="inlineStr">
        <is>
          <t>PY refunded the full 604; nothing applied.</t>
        </is>
      </c>
    </row>
    <row r="5">
      <c r="A5" s="2" t="inlineStr">
        <is>
          <t>2025 estimate Q1</t>
        </is>
      </c>
      <c r="B5" s="24" t="n">
        <v>0</v>
      </c>
      <c r="C5" s="2" t="inlineStr">
        <is>
          <t>Due 4/15/2025 — none expected (no PY estimates); confirm on organizer (Open Item 2)</t>
        </is>
      </c>
    </row>
    <row r="6">
      <c r="A6" s="2" t="inlineStr">
        <is>
          <t>2025 estimate Q2</t>
        </is>
      </c>
      <c r="B6" s="24" t="n">
        <v>0</v>
      </c>
      <c r="C6" s="2" t="inlineStr">
        <is>
          <t>Due 6/16/2025 — none expected (no PY estimates); confirm on organizer (Open Item 2)</t>
        </is>
      </c>
    </row>
    <row r="7">
      <c r="A7" s="2" t="inlineStr">
        <is>
          <t>2025 estimate Q3</t>
        </is>
      </c>
      <c r="B7" s="24" t="n">
        <v>0</v>
      </c>
      <c r="C7" s="2" t="inlineStr">
        <is>
          <t>Due 9/15/2025 — none expected (no PY estimates); confirm on organizer (Open Item 2)</t>
        </is>
      </c>
    </row>
    <row r="8">
      <c r="A8" s="2" t="inlineStr">
        <is>
          <t>2025 estimate Q4</t>
        </is>
      </c>
      <c r="B8" s="24" t="n">
        <v>0</v>
      </c>
      <c r="C8" s="2" t="inlineStr">
        <is>
          <t>Due 1/15/2026 — none expected (no PY estimates); confirm on organizer (Open Item 2)</t>
        </is>
      </c>
    </row>
    <row r="9">
      <c r="A9" s="2" t="inlineStr">
        <is>
          <t>Total 2025 estimates (line 26)</t>
        </is>
      </c>
      <c r="B9" s="23">
        <f>B4+SUM(B5:B8)</f>
        <v/>
      </c>
    </row>
    <row r="10">
      <c r="A10" s="2" t="inlineStr">
        <is>
          <t>25a W-2 withholding — Sample Industries</t>
        </is>
      </c>
      <c r="B10" s="9">
        <f>Wages!C23</f>
        <v/>
      </c>
    </row>
    <row r="11">
      <c r="A11" s="2" t="inlineStr">
        <is>
          <t>25b 1099 withholding</t>
        </is>
      </c>
      <c r="B11" s="9">
        <f>'Interest-Div'!D16</f>
        <v/>
      </c>
    </row>
    <row r="12">
      <c r="A12" s="2" t="inlineStr">
        <is>
          <t>25c Additional Medicare withholding</t>
        </is>
      </c>
      <c r="B12" s="9">
        <f>'Other-Taxes'!B9</f>
        <v/>
      </c>
    </row>
    <row r="13">
      <c r="A13" s="2" t="inlineStr">
        <is>
          <t>33 Total payments</t>
        </is>
      </c>
      <c r="B13" s="23">
        <f>B9+B10+B11+B12</f>
        <v/>
      </c>
    </row>
    <row r="14">
      <c r="A14" s="2" t="inlineStr">
        <is>
          <t>24 Total tax</t>
        </is>
      </c>
      <c r="B14" s="9">
        <f>'Tax-Cr'!B23</f>
        <v/>
      </c>
    </row>
    <row r="15">
      <c r="A15" s="2" t="inlineStr">
        <is>
          <t>34 Overpaid / (37 amount owed)</t>
        </is>
      </c>
      <c r="B15" s="20">
        <f>B13-B14</f>
        <v/>
      </c>
    </row>
    <row r="16">
      <c r="A16" s="2" t="inlineStr">
        <is>
          <t>35a Refund</t>
        </is>
      </c>
      <c r="B16" s="13">
        <f>MAX(0,B15-B17)</f>
        <v/>
      </c>
      <c r="C16" s="2">
        <f>IF(B16+B17=MAX(0,B15),"✓ Refund + applied = overpayment","✗ CHECK")</f>
        <v/>
      </c>
    </row>
    <row r="17">
      <c r="A17" s="2" t="inlineStr">
        <is>
          <t>36 Applied to 2026 estimates</t>
        </is>
      </c>
      <c r="B17" s="8" t="n">
        <v>0</v>
      </c>
      <c r="C17" s="2" t="inlineStr">
        <is>
          <t>Assumed full refund, consistent with PY; confirm direct-deposit details on organizer.</t>
        </is>
      </c>
    </row>
    <row r="19">
      <c r="A19" s="3" t="inlineStr">
        <is>
          <t>§6654 safe harbor</t>
        </is>
      </c>
    </row>
    <row r="20">
      <c r="A20" s="2" t="inlineStr">
        <is>
          <t>2024 total tax</t>
        </is>
      </c>
      <c r="B20" s="9">
        <f>'PY-Proof'!C13</f>
        <v/>
      </c>
    </row>
    <row r="21">
      <c r="A21" s="2" t="inlineStr">
        <is>
          <t>2024 AGI</t>
        </is>
      </c>
      <c r="B21" s="9">
        <f>'PY-Proof'!C9</f>
        <v/>
      </c>
    </row>
    <row r="22">
      <c r="A22" s="2" t="inlineStr">
        <is>
          <t>PY safe-harbor % (110% if PY AGI &gt; 150,000)</t>
        </is>
      </c>
      <c r="B22" s="16">
        <f>IF(B21&gt;150000,1.1,1)</f>
        <v/>
      </c>
    </row>
    <row r="23">
      <c r="A23" s="2" t="inlineStr">
        <is>
          <t>Required — PY basis</t>
        </is>
      </c>
      <c r="B23" s="13">
        <f>ROUND(B20*B22,0)</f>
        <v/>
      </c>
    </row>
    <row r="24">
      <c r="A24" s="2" t="inlineStr">
        <is>
          <t>Required — 90% of 2025 tax</t>
        </is>
      </c>
      <c r="B24" s="13">
        <f>ROUND(0.9*B14,0)</f>
        <v/>
      </c>
    </row>
    <row r="25">
      <c r="A25" s="2" t="inlineStr">
        <is>
          <t>Required annual payment (lesser)</t>
        </is>
      </c>
      <c r="B25" s="13">
        <f>MIN(B23,B24)</f>
        <v/>
      </c>
    </row>
    <row r="26">
      <c r="A26" s="2" t="inlineStr">
        <is>
          <t>Paid (withholding treated as paid ratably + estimates)</t>
        </is>
      </c>
      <c r="B26" s="13">
        <f>B9+B10+B11+B12</f>
        <v/>
      </c>
    </row>
    <row r="27">
      <c r="A27" s="2" t="inlineStr">
        <is>
          <t>Shortfall</t>
        </is>
      </c>
      <c r="B27" s="13">
        <f>MAX(0,B25-B26)</f>
        <v/>
      </c>
      <c r="C27" s="2">
        <f>IF(B27=0,"✓ No §6654 exposure — withholding exceeds required annual payment","✗ CHECK")</f>
        <v/>
      </c>
    </row>
    <row r="28">
      <c r="A28" s="2" t="inlineStr">
        <is>
          <t>Penalty order of magnitude (~7% x ~1/2 yr)</t>
        </is>
      </c>
      <c r="B28" s="13">
        <f>ROUND(B27*0.07*0.5,0)</f>
        <v/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40" customWidth="1" min="2" max="2"/>
    <col width="16" customWidth="1" min="3" max="3"/>
    <col width="14" customWidth="1" min="4" max="4"/>
    <col width="18" customWidth="1" min="5" max="5"/>
    <col width="22" customWidth="1" min="6" max="6"/>
    <col width="26" customWidth="1" min="7" max="7"/>
    <col width="52" customWidth="1" min="8" max="8"/>
  </cols>
  <sheetData>
    <row r="1">
      <c r="A1" s="1" t="inlineStr">
        <is>
          <t>Carryforward manifest — 12/31/2024 into 2025, and 12/31/2025 out to 2026</t>
        </is>
      </c>
    </row>
    <row r="2">
      <c r="A2" s="2" t="inlineStr">
        <is>
          <t>Alex Testman  |  SSN XXX-XX-4321  |  Tax year 2025  |  Prepared by Jane Sample, CPA, Sample &amp; Co CPAs</t>
        </is>
      </c>
    </row>
    <row r="3">
      <c r="A3" s="6" t="inlineStr">
        <is>
          <t>Item</t>
        </is>
      </c>
      <c r="B3" s="6" t="inlineStr">
        <is>
          <t>Activity</t>
        </is>
      </c>
      <c r="C3" s="6" t="inlineStr">
        <is>
          <t>Into 2025 (12/31/24)</t>
        </is>
      </c>
      <c r="D3" s="6" t="inlineStr">
        <is>
          <t>Used / (added), net</t>
        </is>
      </c>
      <c r="E3" s="6" t="inlineStr">
        <is>
          <t>Out of 2025 (12/31/25)</t>
        </is>
      </c>
      <c r="F3" s="6" t="inlineStr">
        <is>
          <t>Destination form</t>
        </is>
      </c>
      <c r="G3" s="6" t="inlineStr">
        <is>
          <t>Source</t>
        </is>
      </c>
      <c r="H3" s="6" t="inlineStr">
        <is>
          <t>Status</t>
        </is>
      </c>
    </row>
    <row r="4">
      <c r="A4" s="2" t="inlineStr">
        <is>
          <t>Capital loss carryover</t>
        </is>
      </c>
      <c r="B4" s="2" t="inlineStr">
        <is>
          <t>Sch D (ST/LT split not shown on PY)</t>
        </is>
      </c>
      <c r="C4" s="9">
        <f>-'PY-Proof'!C25</f>
        <v/>
      </c>
      <c r="D4" s="13">
        <f>-'CapGains-4797'!G18+'CapGains-4797'!G14+'CapGains-4797'!G15</f>
        <v/>
      </c>
      <c r="E4" s="9">
        <f>-'CapGains-4797'!G19</f>
        <v/>
      </c>
      <c r="F4" s="2" t="inlineStr">
        <is>
          <t>2026 Sch D lines 6/14</t>
        </is>
      </c>
      <c r="G4" s="2" t="inlineStr">
        <is>
          <t>PY Sch D; CapGains-4797</t>
        </is>
      </c>
      <c r="H4" s="2">
        <f>IF(C4-D4=E4,"✓ Rolled — 8,500 in, 3,000 used, 5,500 out","✗ CHECK")</f>
        <v/>
      </c>
    </row>
    <row r="5">
      <c r="A5" s="2" t="inlineStr">
        <is>
          <t>Passive activity loss (8582)</t>
        </is>
      </c>
      <c r="B5" s="2" t="inlineStr">
        <is>
          <t>No Sch E / K-1 activities in PY</t>
        </is>
      </c>
      <c r="C5" s="8" t="n">
        <v>0</v>
      </c>
      <c r="D5" s="13" t="n">
        <v>0</v>
      </c>
      <c r="E5" s="13" t="n">
        <v>0</v>
      </c>
      <c r="F5" s="2" t="inlineStr">
        <is>
          <t>n/a</t>
        </is>
      </c>
      <c r="G5" s="2" t="inlineStr">
        <is>
          <t>2024 Form 1040</t>
        </is>
      </c>
      <c r="H5" s="2" t="inlineStr">
        <is>
          <t>✓ n/a — checked</t>
        </is>
      </c>
    </row>
    <row r="6">
      <c r="A6" s="2" t="inlineStr">
        <is>
          <t>NOL</t>
        </is>
      </c>
      <c r="B6" s="2" t="inlineStr">
        <is>
          <t>None on PY</t>
        </is>
      </c>
      <c r="C6" s="8" t="n">
        <v>0</v>
      </c>
      <c r="D6" s="13" t="n">
        <v>0</v>
      </c>
      <c r="E6" s="13" t="n">
        <v>0</v>
      </c>
      <c r="F6" s="2" t="inlineStr">
        <is>
          <t>n/a</t>
        </is>
      </c>
      <c r="G6" s="2" t="inlineStr">
        <is>
          <t>2024 Form 1040</t>
        </is>
      </c>
      <c r="H6" s="2" t="inlineStr">
        <is>
          <t>✓ n/a — checked</t>
        </is>
      </c>
    </row>
    <row r="7">
      <c r="A7" s="2" t="inlineStr">
        <is>
          <t>QBI loss / REIT-PTP c/f (8995)</t>
        </is>
      </c>
      <c r="B7" s="2" t="inlineStr">
        <is>
          <t>No QBI in PY</t>
        </is>
      </c>
      <c r="C7" s="8" t="n">
        <v>0</v>
      </c>
      <c r="D7" s="13" t="n">
        <v>0</v>
      </c>
      <c r="E7" s="13" t="n">
        <v>0</v>
      </c>
      <c r="F7" s="2" t="inlineStr">
        <is>
          <t>n/a</t>
        </is>
      </c>
      <c r="G7" s="2" t="inlineStr">
        <is>
          <t>2024 Form 1040</t>
        </is>
      </c>
      <c r="H7" s="2" t="inlineStr">
        <is>
          <t>✓ n/a — checked</t>
        </is>
      </c>
    </row>
    <row r="8">
      <c r="A8" s="2" t="inlineStr">
        <is>
          <t>Nonrecaptured §1231 (4797 L8)</t>
        </is>
      </c>
      <c r="B8" s="2" t="inlineStr">
        <is>
          <t>No 4797 in PY</t>
        </is>
      </c>
      <c r="C8" s="8" t="n">
        <v>0</v>
      </c>
      <c r="D8" s="13" t="n">
        <v>0</v>
      </c>
      <c r="E8" s="13" t="n">
        <v>0</v>
      </c>
      <c r="F8" s="2" t="inlineStr">
        <is>
          <t>n/a</t>
        </is>
      </c>
      <c r="G8" s="2" t="inlineStr">
        <is>
          <t>2024 Form 1040</t>
        </is>
      </c>
      <c r="H8" s="2" t="inlineStr">
        <is>
          <t>✓ n/a — checked</t>
        </is>
      </c>
    </row>
    <row r="9">
      <c r="A9" s="2" t="inlineStr">
        <is>
          <t>Charitable carryover</t>
        </is>
      </c>
      <c r="B9" s="2" t="inlineStr">
        <is>
          <t>Standard deduction PY; none</t>
        </is>
      </c>
      <c r="C9" s="8" t="n">
        <v>0</v>
      </c>
      <c r="D9" s="13" t="n">
        <v>0</v>
      </c>
      <c r="E9" s="13" t="n">
        <v>0</v>
      </c>
      <c r="F9" s="2" t="inlineStr">
        <is>
          <t>n/a</t>
        </is>
      </c>
      <c r="G9" s="2" t="inlineStr">
        <is>
          <t>2024 Form 1040</t>
        </is>
      </c>
      <c r="H9" s="2" t="inlineStr">
        <is>
          <t>✓ n/a — checked</t>
        </is>
      </c>
    </row>
    <row r="10">
      <c r="A10" s="2" t="inlineStr">
        <is>
          <t>Foreign tax credit (1116)</t>
        </is>
      </c>
      <c r="B10" s="2" t="inlineStr">
        <is>
          <t>None on PY</t>
        </is>
      </c>
      <c r="C10" s="8" t="n">
        <v>0</v>
      </c>
      <c r="D10" s="13" t="n">
        <v>0</v>
      </c>
      <c r="E10" s="13" t="n">
        <v>0</v>
      </c>
      <c r="F10" s="2" t="inlineStr">
        <is>
          <t>n/a</t>
        </is>
      </c>
      <c r="G10" s="2" t="inlineStr">
        <is>
          <t>2024 Form 1040</t>
        </is>
      </c>
      <c r="H10" s="2" t="inlineStr">
        <is>
          <t>✓ n/a — checked</t>
        </is>
      </c>
    </row>
    <row r="11">
      <c r="A11" s="2" t="inlineStr">
        <is>
          <t>AMT credit (8801)</t>
        </is>
      </c>
      <c r="B11" s="2" t="inlineStr">
        <is>
          <t>No AMT PY</t>
        </is>
      </c>
      <c r="C11" s="8" t="n">
        <v>0</v>
      </c>
      <c r="D11" s="13" t="n">
        <v>0</v>
      </c>
      <c r="E11" s="13" t="n">
        <v>0</v>
      </c>
      <c r="F11" s="2" t="inlineStr">
        <is>
          <t>n/a</t>
        </is>
      </c>
      <c r="G11" s="2" t="inlineStr">
        <is>
          <t>2024 Form 1040</t>
        </is>
      </c>
      <c r="H11" s="2" t="inlineStr">
        <is>
          <t>✓ n/a — checked</t>
        </is>
      </c>
    </row>
    <row r="12">
      <c r="A12" s="2" t="inlineStr">
        <is>
          <t>Investment interest (4952)</t>
        </is>
      </c>
      <c r="B12" s="2" t="inlineStr">
        <is>
          <t>None on PY</t>
        </is>
      </c>
      <c r="C12" s="8" t="n">
        <v>0</v>
      </c>
      <c r="D12" s="13" t="n">
        <v>0</v>
      </c>
      <c r="E12" s="13" t="n">
        <v>0</v>
      </c>
      <c r="F12" s="2" t="inlineStr">
        <is>
          <t>n/a</t>
        </is>
      </c>
      <c r="G12" s="2" t="inlineStr">
        <is>
          <t>2024 Form 1040</t>
        </is>
      </c>
      <c r="H12" s="2" t="inlineStr">
        <is>
          <t>✓ n/a — checked</t>
        </is>
      </c>
    </row>
    <row r="13">
      <c r="A13" s="2" t="inlineStr">
        <is>
          <t>§461(l) excess business loss</t>
        </is>
      </c>
      <c r="B13" s="2" t="inlineStr">
        <is>
          <t>None</t>
        </is>
      </c>
      <c r="C13" s="8" t="n">
        <v>0</v>
      </c>
      <c r="D13" s="13" t="n">
        <v>0</v>
      </c>
      <c r="E13" s="13" t="n">
        <v>0</v>
      </c>
      <c r="F13" s="2" t="inlineStr">
        <is>
          <t>n/a</t>
        </is>
      </c>
      <c r="G13" s="2" t="inlineStr">
        <is>
          <t>2024 Form 1040</t>
        </is>
      </c>
      <c r="H13" s="2" t="inlineStr">
        <is>
          <t>✓ n/a — checked</t>
        </is>
      </c>
    </row>
    <row r="14">
      <c r="A14" s="2" t="inlineStr">
        <is>
          <t>EBIE §163(j) by partnership</t>
        </is>
      </c>
      <c r="B14" s="2" t="inlineStr">
        <is>
          <t>No K-1s</t>
        </is>
      </c>
      <c r="C14" s="8" t="n">
        <v>0</v>
      </c>
      <c r="D14" s="13" t="n">
        <v>0</v>
      </c>
      <c r="E14" s="13" t="n">
        <v>0</v>
      </c>
      <c r="F14" s="2" t="inlineStr">
        <is>
          <t>n/a</t>
        </is>
      </c>
      <c r="G14" s="2" t="inlineStr">
        <is>
          <t>2024 Form 1040</t>
        </is>
      </c>
      <c r="H14" s="2" t="inlineStr">
        <is>
          <t>✓ n/a — checked</t>
        </is>
      </c>
    </row>
    <row r="15">
      <c r="A15" s="2" t="inlineStr">
        <is>
          <t>Disallowed §179 by entity</t>
        </is>
      </c>
      <c r="B15" s="2" t="inlineStr">
        <is>
          <t>No K-1s</t>
        </is>
      </c>
      <c r="C15" s="8" t="n">
        <v>0</v>
      </c>
      <c r="D15" s="13" t="n">
        <v>0</v>
      </c>
      <c r="E15" s="13" t="n">
        <v>0</v>
      </c>
      <c r="F15" s="2" t="inlineStr">
        <is>
          <t>n/a</t>
        </is>
      </c>
      <c r="G15" s="2" t="inlineStr">
        <is>
          <t>2024 Form 1040</t>
        </is>
      </c>
      <c r="H15" s="2" t="inlineStr">
        <is>
          <t>✓ n/a — checked</t>
        </is>
      </c>
    </row>
    <row r="16">
      <c r="A16" s="2" t="inlineStr">
        <is>
          <t>At-risk (6198)</t>
        </is>
      </c>
      <c r="B16" s="2" t="inlineStr">
        <is>
          <t>No K-1s</t>
        </is>
      </c>
      <c r="C16" s="8" t="n">
        <v>0</v>
      </c>
      <c r="D16" s="13" t="n">
        <v>0</v>
      </c>
      <c r="E16" s="13" t="n">
        <v>0</v>
      </c>
      <c r="F16" s="2" t="inlineStr">
        <is>
          <t>n/a</t>
        </is>
      </c>
      <c r="G16" s="2" t="inlineStr">
        <is>
          <t>2024 Form 1040</t>
        </is>
      </c>
      <c r="H16" s="2" t="inlineStr">
        <is>
          <t>✓ n/a — checked</t>
        </is>
      </c>
    </row>
    <row r="17">
      <c r="A17" s="2" t="inlineStr">
        <is>
          <t>Basis schedules per entity (7203/partner basis)</t>
        </is>
      </c>
      <c r="B17" s="2" t="inlineStr">
        <is>
          <t>No flowthroughs</t>
        </is>
      </c>
      <c r="C17" s="8" t="n">
        <v>0</v>
      </c>
      <c r="D17" s="13" t="n">
        <v>0</v>
      </c>
      <c r="E17" s="13" t="n">
        <v>0</v>
      </c>
      <c r="F17" s="2" t="inlineStr">
        <is>
          <t>n/a</t>
        </is>
      </c>
      <c r="G17" s="2" t="inlineStr">
        <is>
          <t>2024 Form 1040</t>
        </is>
      </c>
      <c r="H17" s="2" t="inlineStr">
        <is>
          <t>✓ n/a — checked</t>
        </is>
      </c>
    </row>
    <row r="18">
      <c r="A18" s="2" t="inlineStr">
        <is>
          <t>Home office (8829)</t>
        </is>
      </c>
      <c r="B18" s="2" t="inlineStr">
        <is>
          <t>None</t>
        </is>
      </c>
      <c r="C18" s="8" t="n">
        <v>0</v>
      </c>
      <c r="D18" s="13" t="n">
        <v>0</v>
      </c>
      <c r="E18" s="13" t="n">
        <v>0</v>
      </c>
      <c r="F18" s="2" t="inlineStr">
        <is>
          <t>n/a</t>
        </is>
      </c>
      <c r="G18" s="2" t="inlineStr">
        <is>
          <t>2024 Form 1040</t>
        </is>
      </c>
      <c r="H18" s="2" t="inlineStr">
        <is>
          <t>✓ n/a — checked</t>
        </is>
      </c>
    </row>
    <row r="19">
      <c r="A19" s="2" t="inlineStr">
        <is>
          <t>Estimates applied forward</t>
        </is>
      </c>
      <c r="B19" s="2" t="inlineStr">
        <is>
          <t>PY line 36 = 0</t>
        </is>
      </c>
      <c r="C19" s="8" t="n">
        <v>0</v>
      </c>
      <c r="D19" s="13" t="n">
        <v>0</v>
      </c>
      <c r="E19" s="13" t="n">
        <v>0</v>
      </c>
      <c r="F19" s="2" t="inlineStr">
        <is>
          <t>n/a</t>
        </is>
      </c>
      <c r="G19" s="2" t="inlineStr">
        <is>
          <t>2024 Form 1040</t>
        </is>
      </c>
      <c r="H19" s="2" t="inlineStr">
        <is>
          <t>✓ n/a — checked</t>
        </is>
      </c>
    </row>
    <row r="20">
      <c r="A20" s="2" t="inlineStr">
        <is>
          <t>State items</t>
        </is>
      </c>
      <c r="B20" s="2" t="inlineStr">
        <is>
          <t>Florida — no state income tax</t>
        </is>
      </c>
      <c r="C20" s="8" t="n">
        <v>0</v>
      </c>
      <c r="D20" s="13" t="n">
        <v>0</v>
      </c>
      <c r="E20" s="13" t="n">
        <v>0</v>
      </c>
      <c r="F20" s="2" t="inlineStr">
        <is>
          <t>n/a</t>
        </is>
      </c>
      <c r="G20" s="2" t="inlineStr">
        <is>
          <t>2024 Form 1040</t>
        </is>
      </c>
      <c r="H20" s="2" t="inlineStr">
        <is>
          <t>✓ n/a — checked</t>
        </is>
      </c>
    </row>
    <row r="21">
      <c r="A21" s="2" t="inlineStr">
        <is>
          <t>Total manifest</t>
        </is>
      </c>
      <c r="C21" s="25">
        <f>SUM(C4:C20)</f>
        <v/>
      </c>
      <c r="D21" s="25">
        <f>SUM(D4:D20)</f>
        <v/>
      </c>
      <c r="E21" s="25">
        <f>SUM(E4:E20)</f>
        <v/>
      </c>
      <c r="H21" s="2">
        <f>IF(C21-D21=E21,"✓ Manifest foots: in - used = out","✗ CHECK")</f>
        <v/>
      </c>
    </row>
    <row r="22">
      <c r="A22" s="2" t="inlineStr">
        <is>
          <t>Out-of-2025 c/f ties to Sch D roll</t>
        </is>
      </c>
      <c r="H22" s="2">
        <f>IF(E21=-'CapGains-4797'!G19,"✓ TIES to CapGains-4797 c/f out","✗ CHECK")</f>
        <v/>
      </c>
    </row>
    <row r="23">
      <c r="A23" s="2" t="inlineStr">
        <is>
          <t>Note: if the Sample Brokerage 1099-B (Open Item 1) shows 2025 gains, 'used' rises and the c/f out falls; losses increase it. Formulas carry the change.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40" customWidth="1" min="2" max="2"/>
    <col width="80" customWidth="1" min="3" max="3"/>
    <col width="60" customWidth="1" min="4" max="4"/>
    <col width="14" customWidth="1" min="5" max="5"/>
  </cols>
  <sheetData>
    <row r="1">
      <c r="A1" s="1" t="inlineStr">
        <is>
          <t>Open Items — ordered by dollar exposure (firm convention: items under $3,000 are not open items)</t>
        </is>
      </c>
    </row>
    <row r="2">
      <c r="A2" s="2" t="inlineStr">
        <is>
          <t>Alex Testman  |  SSN XXX-XX-4321  |  Tax year 2025  |  Prepared by Jane Sample, CPA, Sample &amp; Co CPAs</t>
        </is>
      </c>
    </row>
    <row r="3">
      <c r="A3" s="6" t="inlineStr">
        <is>
          <t>#</t>
        </is>
      </c>
      <c r="B3" s="6" t="inlineStr">
        <is>
          <t>Item</t>
        </is>
      </c>
      <c r="C3" s="6" t="inlineStr">
        <is>
          <t>Detail &amp; action needed (PBC named, who has it)</t>
        </is>
      </c>
      <c r="D3" s="6" t="inlineStr">
        <is>
          <t>Impact (form / line, $ exposure, sign)</t>
        </is>
      </c>
      <c r="E3" s="6" t="inlineStr">
        <is>
          <t>Status</t>
        </is>
      </c>
    </row>
    <row r="4" ht="120" customHeight="1">
      <c r="A4" s="26" t="n">
        <v>1</v>
      </c>
      <c r="B4" s="26" t="inlineStr">
        <is>
          <t>Sample Brokerage 2025 consolidated Form 1099 (1099-DIV and 1099-B) — missing</t>
        </is>
      </c>
      <c r="C4" s="26" t="inlineStr">
        <is>
          <t>Sample Brokerage paid $2,100 of dividends on the 2024 Sch B. Firm notes: no 1099-DIV received; client says the account was closed in March 2025. A March closing means Jan-Mar dividends and either liquidating sales (1099-B) or an in-kind transfer to another custodian (whose 2025 1099 would then be needed). Brokers must issue a 2025 1099 for a partial year. PBC from client: Sample Brokerage 2025 consolidated 1099 (download from the closed-account portal), plus the March 2025 closing/transfer statement. If sales occurred, also obtain the 2024 Sch D capital loss carryover worksheet (Prior Firm CPA PA) for the ST/LT split of the $8,500.</t>
        </is>
      </c>
      <c r="D4" s="26" t="inlineStr">
        <is>
          <t>Form 1040 3a/3b, 7; Sch B; 8949/Sch D. Dividends at PY run-rate ~$525 (~+$115 tax at 22%). Net 2025 gains up to $5,500 are absorbed by the $8,500 c/f with no AGI change; each $1 above $5,500 adds $0.15-0.22 of tax (increase). Net losses increase the c/f to 2026. Proceeds unknown — exposure potentially well above $3,000. Projected refund $753 is provisional.</t>
        </is>
      </c>
      <c r="E4" s="27" t="inlineStr">
        <is>
          <t>OPEN — PBC</t>
        </is>
      </c>
    </row>
    <row r="5" ht="120" customHeight="1">
      <c r="A5" s="26" t="n">
        <v>2</v>
      </c>
      <c r="B5" s="26" t="inlineStr">
        <is>
          <t>2025 client organizer / questionnaire not received (DOB, digital-asset &amp; foreign-account answers, direct deposit, IP PIN, estimates)</t>
        </is>
      </c>
      <c r="C5" s="26" t="inlineStr">
        <is>
          <t>No organizer in file. Needed: date of birth (65+ status), digital-asset yes/no, foreign accounts, other 2025 income or new accounts, any estimated payments, IRA/HSA contributions, refund direct-deposit details, IP PIN if issued. PBC from client: completed 2025 organizer.</t>
        </is>
      </c>
      <c r="D5" s="26" t="inlineStr">
        <is>
          <t>Required to e-file regardless of dollars. If 65+: additional std deduction $2,000 + Sch 1-A senior deduction ~$4,522 = ~$6,522 lower TI, ~$1,435 less tax (decrease). Other unknowns open-ended.</t>
        </is>
      </c>
      <c r="E5" s="27" t="inlineStr">
        <is>
          <t>OPEN — PBC</t>
        </is>
      </c>
    </row>
    <row r="7">
      <c r="A7" s="2" t="inlineStr">
        <is>
          <t>Noted, not open items (under $3,000 firm threshold): 2024 tax $17 below ordinary-rate recompute (likely qualified dividends) — PY-Proof row 28; capital loss c/f ST/LT character unknown (no effect while 2025 activity is nil).</t>
        </is>
      </c>
    </row>
    <row r="8">
      <c r="A8" s="2" t="inlineStr">
        <is>
          <t>Open item count</t>
        </is>
      </c>
      <c r="B8" s="2">
        <f>COUNTIF(E4:E5,"OPEN*")</f>
        <v/>
      </c>
      <c r="C8" s="2">
        <f>IF(B8=2,"✓ 2 open items listed","✗ CHECK")</f>
        <v/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48" customWidth="1" min="3" max="3"/>
    <col width="48" customWidth="1" min="4" max="4"/>
    <col width="22" customWidth="1" min="5" max="5"/>
    <col width="44" customWidth="1" min="6" max="6"/>
    <col width="18" customWidth="1" min="7" max="7"/>
  </cols>
  <sheetData>
    <row r="1">
      <c r="A1" s="1" t="inlineStr">
        <is>
          <t>Issues memo — issue-library walk (A-G)</t>
        </is>
      </c>
    </row>
    <row r="2">
      <c r="A2" s="2" t="inlineStr">
        <is>
          <t>Alex Testman  |  SSN XXX-XX-4321  |  Tax year 2025  |  Prepared by Jane Sample, CPA, Sample &amp; Co CPAs</t>
        </is>
      </c>
    </row>
    <row r="3">
      <c r="A3" s="6" t="inlineStr">
        <is>
          <t>Cat.</t>
        </is>
      </c>
      <c r="B3" s="6" t="inlineStr">
        <is>
          <t>Caption</t>
        </is>
      </c>
      <c r="C3" s="6" t="inlineStr">
        <is>
          <t>Facts (cited)</t>
        </is>
      </c>
      <c r="D3" s="6" t="inlineStr">
        <is>
          <t>Law / mechanics</t>
        </is>
      </c>
      <c r="E3" s="6" t="inlineStr">
        <is>
          <t>Dollars</t>
        </is>
      </c>
      <c r="F3" s="6" t="inlineStr">
        <is>
          <t>Recommended treatment</t>
        </is>
      </c>
      <c r="G3" s="6" t="inlineStr">
        <is>
          <t>Status</t>
        </is>
      </c>
    </row>
    <row r="4">
      <c r="A4" s="26" t="inlineStr">
        <is>
          <t>C/B</t>
        </is>
      </c>
      <c r="B4" s="26" t="inlineStr">
        <is>
          <t>Brokerage account closed March 2025 — 1099 missing</t>
        </is>
      </c>
      <c r="C4" s="26" t="inlineStr">
        <is>
          <t>2024 Sch B: Sample Brokerage dividends 2,100 (2024 1040). engagement.json note: no 1099-DIV; account closed March 2025.</t>
        </is>
      </c>
      <c r="D4" s="26" t="inlineStr">
        <is>
          <t>Every PY payer must appear, end with an explanation, or be an open item. A closing generates either taxable sales (8949) or an in-kind transfer (no tax, new custodian).</t>
        </is>
      </c>
      <c r="E4" s="26" t="inlineStr">
        <is>
          <t>Dividends ~525 est.; gains first absorbed by 8,500 c/f (5,500 headroom)</t>
        </is>
      </c>
      <c r="F4" s="26" t="inlineStr">
        <is>
          <t>Hold return for 2025 consolidated 1099; key 8949 by box totals only.</t>
        </is>
      </c>
      <c r="G4" s="27" t="inlineStr">
        <is>
          <t>OPEN — Open Item 1</t>
        </is>
      </c>
    </row>
    <row r="5">
      <c r="A5" s="26" t="inlineStr">
        <is>
          <t>B</t>
        </is>
      </c>
      <c r="B5" s="26" t="inlineStr">
        <is>
          <t>Capital loss carryover roll</t>
        </is>
      </c>
      <c r="C5" s="26" t="inlineStr">
        <is>
          <t>2024 Sch D: c/f to 2025 (8,500); 3,000 deducted 2024.</t>
        </is>
      </c>
      <c r="D5" s="26" t="inlineStr">
        <is>
          <t>§1212(b): c/f retains ST/LT character; $3,000 annual ordinary offset (§1211(b)).</t>
        </is>
      </c>
      <c r="E5" s="26" t="inlineStr">
        <is>
          <t>8,500 in / 3,000 used / 5,500 out</t>
        </is>
      </c>
      <c r="F5" s="26" t="inlineStr">
        <is>
          <t>Rolled on CapGains-4797 &amp; Carryforwards. ST/LT split only matters if 2025 gains exist — obtain PY worksheet then.</t>
        </is>
      </c>
      <c r="G5" s="26" t="inlineStr">
        <is>
          <t>Rolled ✓</t>
        </is>
      </c>
    </row>
    <row r="6">
      <c r="A6" s="26" t="inlineStr">
        <is>
          <t>F</t>
        </is>
      </c>
      <c r="B6" s="26" t="inlineStr">
        <is>
          <t>PY tax variance $17</t>
        </is>
      </c>
      <c r="C6" s="26" t="inlineStr">
        <is>
          <t>2024 line 16 12,796 vs ordinary tax-table recompute 12,813 (PY-Proof).</t>
        </is>
      </c>
      <c r="D6" s="26" t="inlineStr">
        <is>
          <t>Qualified dividends taxed at 15% vs 22% marginal; ~$243 QD explains it.</t>
        </is>
      </c>
      <c r="E6" s="26" t="inlineStr">
        <is>
          <t>(17)</t>
        </is>
      </c>
      <c r="F6" s="26" t="inlineStr">
        <is>
          <t>Under $3,000 — no 1040-X, no open item. CY not affected.</t>
        </is>
      </c>
      <c r="G6" s="26" t="inlineStr">
        <is>
          <t>Noted</t>
        </is>
      </c>
    </row>
    <row r="7">
      <c r="A7" s="26" t="inlineStr">
        <is>
          <t>D</t>
        </is>
      </c>
      <c r="B7" s="26" t="inlineStr">
        <is>
          <t>Standard vs itemized; 65+ / senior deduction</t>
        </is>
      </c>
      <c r="C7" s="26" t="inlineStr">
        <is>
          <t>No 1098, RE-tax, or charity documents; FL no income tax. DOB not in file.</t>
        </is>
      </c>
      <c r="D7" s="26" t="inlineStr">
        <is>
          <t>2025 std deduction 15,750 (OBBBA). §151(f) senior deduction $6,000 (65+), phased out 6% over MAGI 75,000.</t>
        </is>
      </c>
      <c r="E7" s="26" t="inlineStr">
        <is>
          <t>Std 15,750; if 65+ ~6,522 more deduction</t>
        </is>
      </c>
      <c r="F7" s="26" t="inlineStr">
        <is>
          <t>Standard deduction; age assumed under 65 pending organizer.</t>
        </is>
      </c>
      <c r="G7" s="27" t="inlineStr">
        <is>
          <t>OPEN — Open Item 2</t>
        </is>
      </c>
    </row>
    <row r="8">
      <c r="A8" s="26" t="inlineStr">
        <is>
          <t>C</t>
        </is>
      </c>
      <c r="B8" s="26" t="inlineStr">
        <is>
          <t>W-2 continuity / 401(k)</t>
        </is>
      </c>
      <c r="C8" s="26" t="inlineStr">
        <is>
          <t>Same employer; box 1 101,250 = box 5 108,750 - 12D 7,500 (Wages).</t>
        </is>
      </c>
      <c r="D8" s="26" t="inlineStr">
        <is>
          <t>§402(g) 2025 limit 23,500; box 3 below 176,100 wage base.</t>
        </is>
      </c>
      <c r="E8" s="26" t="inlineStr">
        <is>
          <t>+6,250 wages</t>
        </is>
      </c>
      <c r="F8" s="26" t="inlineStr">
        <is>
          <t>Picked up; reconciles.</t>
        </is>
      </c>
      <c r="G8" s="26" t="inlineStr">
        <is>
          <t>Closed ✓</t>
        </is>
      </c>
    </row>
    <row r="9">
      <c r="A9" s="26" t="inlineStr">
        <is>
          <t>C</t>
        </is>
      </c>
      <c r="B9" s="26" t="inlineStr">
        <is>
          <t>Interest continuity</t>
        </is>
      </c>
      <c r="C9" s="26" t="inlineStr">
        <is>
          <t>First Sample Bank 1099-INT 1,388.42 vs PY 1,240.</t>
        </is>
      </c>
      <c r="D9" s="26" t="inlineStr">
        <is>
          <t>Sch B required only if interest or dividends &gt; 1,500.</t>
        </is>
      </c>
      <c r="E9" s="26" t="inlineStr">
        <is>
          <t>+148</t>
        </is>
      </c>
      <c r="F9" s="26" t="inlineStr">
        <is>
          <t>Picked up; Sch B status rechecked when brokerage 1099 arrives.</t>
        </is>
      </c>
      <c r="G9" s="26" t="inlineStr">
        <is>
          <t>Closed ✓</t>
        </is>
      </c>
    </row>
    <row r="10">
      <c r="A10" s="26" t="inlineStr">
        <is>
          <t>E</t>
        </is>
      </c>
      <c r="B10" s="26" t="inlineStr">
        <is>
          <t>NIIT / Additional Medicare</t>
        </is>
      </c>
      <c r="C10" s="26" t="inlineStr">
        <is>
          <t>MAGI ~99,638; Medicare wages 108,750.</t>
        </is>
      </c>
      <c r="D10" s="26" t="inlineStr">
        <is>
          <t>Thresholds 200,000 single (§1411, §3101(b)(2)).</t>
        </is>
      </c>
      <c r="E10" s="26" t="inlineStr">
        <is>
          <t>0</t>
        </is>
      </c>
      <c r="F10" s="26" t="inlineStr">
        <is>
          <t>Checked — n/a (Other-Taxes).</t>
        </is>
      </c>
      <c r="G10" s="26" t="inlineStr">
        <is>
          <t>n/a</t>
        </is>
      </c>
    </row>
    <row r="11">
      <c r="A11" s="26" t="inlineStr">
        <is>
          <t>E</t>
        </is>
      </c>
      <c r="B11" s="26" t="inlineStr">
        <is>
          <t>AMT, FTC, kiddie, energy, excess SS</t>
        </is>
      </c>
      <c r="C11" s="26" t="inlineStr">
        <is>
          <t>No preference items; one employer; no dependents; no 1099-DIV box 7 yet.</t>
        </is>
      </c>
      <c r="D11" s="26" t="inlineStr">
        <is>
          <t>6251 screen; 1116 / de minimis election.</t>
        </is>
      </c>
      <c r="E11" s="26" t="inlineStr">
        <is>
          <t>0</t>
        </is>
      </c>
      <c r="F11" s="26" t="inlineStr">
        <is>
          <t>Checked — n/a; re-screen FTC if the brokerage 1099-DIV shows box 7.</t>
        </is>
      </c>
      <c r="G11" s="26" t="inlineStr">
        <is>
          <t>n/a</t>
        </is>
      </c>
    </row>
    <row r="12">
      <c r="A12" s="26" t="inlineStr">
        <is>
          <t>F</t>
        </is>
      </c>
      <c r="B12" s="26" t="inlineStr">
        <is>
          <t>Estimates / safe harbor</t>
        </is>
      </c>
      <c r="C12" s="26" t="inlineStr">
        <is>
          <t>No estimates; W-2 withholding 14,120 vs PY tax 12,796.</t>
        </is>
      </c>
      <c r="D12" s="26" t="inlineStr">
        <is>
          <t>§6654(d): 100% PY tax (PY AGI ≤ 150,000) or 90% CY.</t>
        </is>
      </c>
      <c r="E12" s="26" t="inlineStr">
        <is>
          <t>0 penalty</t>
        </is>
      </c>
      <c r="F12" s="26" t="inlineStr">
        <is>
          <t>No 2210 (Payments-Est).</t>
        </is>
      </c>
      <c r="G12" s="26" t="inlineStr">
        <is>
          <t>Closed ✓</t>
        </is>
      </c>
    </row>
    <row r="13">
      <c r="A13" s="26" t="inlineStr">
        <is>
          <t>F</t>
        </is>
      </c>
      <c r="B13" s="26" t="inlineStr">
        <is>
          <t>Filing posture / e-file data</t>
        </is>
      </c>
      <c r="C13" s="26" t="inlineStr">
        <is>
          <t>No extension, DOB, IP PIN, or bank info in file.</t>
        </is>
      </c>
      <c r="D13" s="26" t="inlineStr">
        <is>
          <t>E-file requires DOB/identity data.</t>
        </is>
      </c>
      <c r="E13" s="26" t="inlineStr">
        <is>
          <t>-</t>
        </is>
      </c>
      <c r="F13" s="26" t="inlineStr">
        <is>
          <t>Covered by organizer request.</t>
        </is>
      </c>
      <c r="G13" s="27" t="inlineStr">
        <is>
          <t>OPEN — Open Item 2</t>
        </is>
      </c>
    </row>
    <row r="14">
      <c r="A14" s="26" t="inlineStr">
        <is>
          <t>F</t>
        </is>
      </c>
      <c r="B14" s="26" t="inlineStr">
        <is>
          <t>State filings</t>
        </is>
      </c>
      <c r="C14" s="26" t="inlineStr">
        <is>
          <t>Jupiter FL resident; W-2 box 16 FL n/a.</t>
        </is>
      </c>
      <c r="D14" s="26" t="inlineStr">
        <is>
          <t>Florida has no personal income tax.</t>
        </is>
      </c>
      <c r="E14" s="26" t="inlineStr">
        <is>
          <t>0</t>
        </is>
      </c>
      <c r="F14" s="26" t="inlineStr">
        <is>
          <t>Checked — n/a; State tab omitted.</t>
        </is>
      </c>
      <c r="G14" s="26" t="inlineStr">
        <is>
          <t>n/a</t>
        </is>
      </c>
    </row>
    <row r="15">
      <c r="A15" s="26" t="inlineStr">
        <is>
          <t>A</t>
        </is>
      </c>
      <c r="B15" s="26" t="inlineStr">
        <is>
          <t>Flowthrough / K-1 issues (basis, at-risk, PAL, §752, §731, 7217, §721, EBIE, §179, SE)</t>
        </is>
      </c>
      <c r="C15" s="26" t="inlineStr">
        <is>
          <t>No K-1s in PY or CY.</t>
        </is>
      </c>
      <c r="D15" s="26" t="inlineStr">
        <is>
          <t>-</t>
        </is>
      </c>
      <c r="E15" s="26" t="inlineStr">
        <is>
          <t>0</t>
        </is>
      </c>
      <c r="F15" s="26" t="inlineStr">
        <is>
          <t>Checked — n/a.</t>
        </is>
      </c>
      <c r="G15" s="26" t="inlineStr">
        <is>
          <t>n/a</t>
        </is>
      </c>
    </row>
    <row r="16">
      <c r="A16" s="26" t="inlineStr">
        <is>
          <t>B</t>
        </is>
      </c>
      <c r="B16" s="26" t="inlineStr">
        <is>
          <t>§1231, §1250, installment, wash sales, §121, OZ/QSBS</t>
        </is>
      </c>
      <c r="C16" s="26" t="inlineStr">
        <is>
          <t>No 4797/6252 in PY; no home sale; 1099-B not yet received.</t>
        </is>
      </c>
      <c r="D16" s="26" t="inlineStr">
        <is>
          <t>Wash-sale/code review on lot detail once 1099-B arrives.</t>
        </is>
      </c>
      <c r="E16" s="26" t="inlineStr">
        <is>
          <t>0</t>
        </is>
      </c>
      <c r="F16" s="26" t="inlineStr">
        <is>
          <t>Checked — n/a pending Open Item 1.</t>
        </is>
      </c>
      <c r="G16" s="26" t="inlineStr">
        <is>
          <t>n/a</t>
        </is>
      </c>
    </row>
    <row r="17">
      <c r="A17" s="26" t="inlineStr">
        <is>
          <t>D</t>
        </is>
      </c>
      <c r="B17" s="26" t="inlineStr">
        <is>
          <t>QBI, investment interest, mortgage, HSA/SE adjustments</t>
        </is>
      </c>
      <c r="C17" s="26" t="inlineStr">
        <is>
          <t>No business income, margin interest, 1098, or box 12 W.</t>
        </is>
      </c>
      <c r="D17" s="26" t="inlineStr">
        <is>
          <t>-</t>
        </is>
      </c>
      <c r="E17" s="26" t="inlineStr">
        <is>
          <t>0</t>
        </is>
      </c>
      <c r="F17" s="26" t="inlineStr">
        <is>
          <t>Checked — n/a.</t>
        </is>
      </c>
      <c r="G17" s="26" t="inlineStr">
        <is>
          <t>n/a</t>
        </is>
      </c>
    </row>
    <row r="18">
      <c r="A18" s="26" t="inlineStr">
        <is>
          <t>G</t>
        </is>
      </c>
      <c r="B18" s="26" t="inlineStr">
        <is>
          <t>Cross-entity / related party / scope</t>
        </is>
      </c>
      <c r="C18" s="26" t="inlineStr">
        <is>
          <t>Single W-2 employee; no entities; predecessor firm prepared 2024.</t>
        </is>
      </c>
      <c r="D18" s="26" t="inlineStr">
        <is>
          <t>-</t>
        </is>
      </c>
      <c r="E18" s="26" t="inlineStr">
        <is>
          <t>0</t>
        </is>
      </c>
      <c r="F18" s="26" t="inlineStr">
        <is>
          <t>Checked — n/a; scope consistent with a simple 1040.</t>
        </is>
      </c>
      <c r="G18" s="26" t="inlineStr">
        <is>
          <t>n/a</t>
        </is>
      </c>
    </row>
    <row r="20">
      <c r="A20" s="2" t="inlineStr">
        <is>
          <t>Issue count</t>
        </is>
      </c>
      <c r="B20" s="2">
        <f>COUNTA(B4:B18)</f>
        <v/>
      </c>
      <c r="C20" s="2">
        <f>IF(B20&gt;=15,"✓ All library categories A-G addressed","✗ CHECK")</f>
        <v/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40" customWidth="1" min="3" max="3"/>
  </cols>
  <sheetData>
    <row r="1">
      <c r="A1" s="1" t="inlineStr">
        <is>
          <t>Client-Source — firm notes and PY filed key figures</t>
        </is>
      </c>
    </row>
    <row r="2">
      <c r="A2" s="2" t="inlineStr">
        <is>
          <t>Alex Testman  |  SSN XXX-XX-4321  |  Tax year 2025  |  Prepared by Jane Sample, CPA, Sample &amp; Co CPAs</t>
        </is>
      </c>
    </row>
    <row r="4">
      <c r="A4" s="3" t="inlineStr">
        <is>
          <t>engagement.json — firm note (as given)</t>
        </is>
      </c>
    </row>
    <row r="5">
      <c r="A5" s="4" t="inlineStr">
        <is>
          <t>"No 1099-DIV received yet; client says the brokerage account was closed in March 2025."</t>
        </is>
      </c>
    </row>
    <row r="6">
      <c r="A6" s="7" t="inlineStr">
        <is>
          <t>Operative facts: (1) PY dividend payer Sample Brokerage has no 2025 document; (2) closing date March 2025 -&gt; 2025 activity expected. -&gt; Open Item 1.</t>
        </is>
      </c>
    </row>
    <row r="8">
      <c r="A8" s="3" t="inlineStr">
        <is>
          <t>PY filed key figures (2024 Form 1040, Prior Firm CPA PA)</t>
        </is>
      </c>
    </row>
    <row r="9">
      <c r="A9" s="2" t="inlineStr">
        <is>
          <t>Wages</t>
        </is>
      </c>
      <c r="B9" s="8" t="n">
        <v>95000</v>
      </c>
    </row>
    <row r="10">
      <c r="A10" s="2" t="inlineStr">
        <is>
          <t>Taxable interest</t>
        </is>
      </c>
      <c r="B10" s="8" t="n">
        <v>1240</v>
      </c>
    </row>
    <row r="11">
      <c r="A11" s="2" t="inlineStr">
        <is>
          <t>Ordinary dividends</t>
        </is>
      </c>
      <c r="B11" s="8" t="n">
        <v>2100</v>
      </c>
    </row>
    <row r="12">
      <c r="A12" s="2" t="inlineStr">
        <is>
          <t>Capital loss</t>
        </is>
      </c>
      <c r="B12" s="8" t="n">
        <v>-3000</v>
      </c>
    </row>
    <row r="13">
      <c r="A13" s="2" t="inlineStr">
        <is>
          <t>Total income / AGI</t>
        </is>
      </c>
      <c r="B13" s="8" t="n">
        <v>95340</v>
      </c>
      <c r="C13" s="2">
        <f>IF(B13='PY-Proof'!C9,"✓ TIES to PY-Proof AGI","✗ CHECK")</f>
        <v/>
      </c>
    </row>
    <row r="14">
      <c r="A14" s="2" t="inlineStr">
        <is>
          <t>Standard deduction</t>
        </is>
      </c>
      <c r="B14" s="8" t="n">
        <v>14600</v>
      </c>
    </row>
    <row r="15">
      <c r="A15" s="2" t="inlineStr">
        <is>
          <t>Taxable income</t>
        </is>
      </c>
      <c r="B15" s="8" t="n">
        <v>80740</v>
      </c>
    </row>
    <row r="16">
      <c r="A16" s="2" t="inlineStr">
        <is>
          <t>Total tax</t>
        </is>
      </c>
      <c r="B16" s="8" t="n">
        <v>12796</v>
      </c>
      <c r="C16" s="2">
        <f>IF(B16='PY-Proof'!C13,"✓ TIES to PY-Proof total tax","✗ CHECK")</f>
        <v/>
      </c>
    </row>
    <row r="17">
      <c r="A17" s="2" t="inlineStr">
        <is>
          <t>Withholding</t>
        </is>
      </c>
      <c r="B17" s="8" t="n">
        <v>13400</v>
      </c>
    </row>
    <row r="18">
      <c r="A18" s="2" t="inlineStr">
        <is>
          <t>Refund</t>
        </is>
      </c>
      <c r="B18" s="8" t="n">
        <v>604</v>
      </c>
    </row>
    <row r="19">
      <c r="A19" s="2" t="inlineStr">
        <is>
          <t>Cap loss c/f to 2025</t>
        </is>
      </c>
      <c r="B19" s="8" t="n">
        <v>-8500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2026-10-21T14:29:04Z</dcterms:created>
  <dcterms:modified xmlns:dcterms="http://purl.org/dc/terms/" xmlns:xsi="http://www.w3.org/2001/XMLSchema-instance" xsi:type="dcterms:W3CDTF">2026-10-21T14:29:04Z</dcterms:modified>
</cp:coreProperties>
</file>